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Budget\Financial Aid\Financial Aid Allocations\20-21 Allocations\"/>
    </mc:Choice>
  </mc:AlternateContent>
  <xr:revisionPtr revIDLastSave="0" documentId="8_{A522E7A9-60E8-4332-ADD1-775DFD00CEBF}" xr6:coauthVersionLast="44" xr6:coauthVersionMax="44" xr10:uidLastSave="{00000000-0000-0000-0000-000000000000}"/>
  <bookViews>
    <workbookView xWindow="-120" yWindow="-120" windowWidth="20730" windowHeight="11160" tabRatio="688" firstSheet="1" activeTab="5" xr2:uid="{75243382-2823-4674-AF38-733605A28827}"/>
  </bookViews>
  <sheets>
    <sheet name="20-21 UG Grant -2+7% R1 2%" sheetId="1" r:id="rId1"/>
    <sheet name="20-21 UG Grant -3+5% R1 FLAT" sheetId="2" r:id="rId2"/>
    <sheet name="20-21 UG Grant -4+4% R1 -5%" sheetId="4" r:id="rId3"/>
    <sheet name="FY 21 +2%" sheetId="6" r:id="rId4"/>
    <sheet name="FY 21 flat" sheetId="8" r:id="rId5"/>
    <sheet name="FY 21 -5%" sheetId="9" r:id="rId6"/>
  </sheets>
  <externalReferences>
    <externalReference r:id="rId7"/>
  </externalReferences>
  <definedNames>
    <definedName name="_xlnm.Print_Area" localSheetId="0">'20-21 UG Grant -2+7% R1 2%'!$A$1:$Q$48</definedName>
    <definedName name="_xlnm.Print_Area" localSheetId="1">'20-21 UG Grant -3+5% R1 FLAT'!$A$1:$Q$48</definedName>
    <definedName name="_xlnm.Print_Area" localSheetId="2">'20-21 UG Grant -4+4% R1 -5%'!$A$1:$Q$48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4" l="1"/>
  <c r="C52" i="4"/>
  <c r="D52" i="4" s="1"/>
  <c r="E52" i="4" s="1"/>
  <c r="M56" i="4"/>
  <c r="M57" i="4"/>
  <c r="H47" i="8"/>
  <c r="M58" i="4" l="1"/>
  <c r="C40" i="6"/>
  <c r="C40" i="8"/>
  <c r="C40" i="9"/>
  <c r="C39" i="8" l="1"/>
  <c r="C36" i="8"/>
  <c r="C28" i="8"/>
  <c r="C14" i="8"/>
  <c r="C13" i="8"/>
  <c r="C12" i="8"/>
  <c r="C11" i="8"/>
  <c r="C10" i="8"/>
  <c r="C9" i="8"/>
  <c r="C7" i="8"/>
  <c r="C6" i="8"/>
  <c r="C5" i="8"/>
  <c r="C4" i="8"/>
  <c r="C39" i="9"/>
  <c r="C36" i="9"/>
  <c r="C28" i="9"/>
  <c r="C13" i="9"/>
  <c r="C12" i="9"/>
  <c r="C11" i="9"/>
  <c r="C10" i="9"/>
  <c r="C9" i="9"/>
  <c r="C7" i="9"/>
  <c r="C6" i="9"/>
  <c r="C5" i="9"/>
  <c r="C4" i="9"/>
  <c r="H49" i="9"/>
  <c r="I49" i="9" s="1"/>
  <c r="H50" i="9"/>
  <c r="I50" i="9" s="1"/>
  <c r="H51" i="9"/>
  <c r="I51" i="9" s="1"/>
  <c r="H52" i="9"/>
  <c r="I52" i="9" s="1"/>
  <c r="H48" i="9"/>
  <c r="I48" i="9" s="1"/>
  <c r="H49" i="8"/>
  <c r="I49" i="8" s="1"/>
  <c r="H50" i="8"/>
  <c r="I50" i="8" s="1"/>
  <c r="H51" i="8"/>
  <c r="I51" i="8" s="1"/>
  <c r="H52" i="8"/>
  <c r="I52" i="8" s="1"/>
  <c r="H48" i="8"/>
  <c r="I48" i="8" s="1"/>
  <c r="C39" i="6"/>
  <c r="C36" i="6"/>
  <c r="C28" i="6"/>
  <c r="C14" i="6"/>
  <c r="C13" i="6"/>
  <c r="C12" i="6"/>
  <c r="C11" i="6"/>
  <c r="C10" i="6"/>
  <c r="C9" i="6"/>
  <c r="C7" i="6"/>
  <c r="C6" i="6"/>
  <c r="C5" i="6"/>
  <c r="C4" i="6"/>
  <c r="B37" i="6"/>
  <c r="I37" i="6" s="1"/>
  <c r="J37" i="6" s="1"/>
  <c r="B38" i="6"/>
  <c r="I38" i="6" s="1"/>
  <c r="J38" i="6" s="1"/>
  <c r="B39" i="6"/>
  <c r="B40" i="6"/>
  <c r="B36" i="6"/>
  <c r="O16" i="4"/>
  <c r="O31" i="4"/>
  <c r="O32" i="4"/>
  <c r="E37" i="4"/>
  <c r="L48" i="4"/>
  <c r="J48" i="4"/>
  <c r="H48" i="4"/>
  <c r="F48" i="4"/>
  <c r="D48" i="4"/>
  <c r="B48" i="4"/>
  <c r="K46" i="4"/>
  <c r="I46" i="4"/>
  <c r="E46" i="4"/>
  <c r="C46" i="4"/>
  <c r="C45" i="4"/>
  <c r="C44" i="4"/>
  <c r="C41" i="4"/>
  <c r="K40" i="4"/>
  <c r="C40" i="4"/>
  <c r="C39" i="4"/>
  <c r="C38" i="4"/>
  <c r="C37" i="4"/>
  <c r="C34" i="4"/>
  <c r="C33" i="4"/>
  <c r="C30" i="4"/>
  <c r="K29" i="4"/>
  <c r="C29" i="4"/>
  <c r="K28" i="4"/>
  <c r="C28" i="4"/>
  <c r="C27" i="4"/>
  <c r="C26" i="4"/>
  <c r="C25" i="4"/>
  <c r="C24" i="4"/>
  <c r="C23" i="4"/>
  <c r="K22" i="4"/>
  <c r="C22" i="4"/>
  <c r="C21" i="4"/>
  <c r="C20" i="4"/>
  <c r="C19" i="4"/>
  <c r="C18" i="4"/>
  <c r="K15" i="4"/>
  <c r="C15" i="4"/>
  <c r="K14" i="4"/>
  <c r="C14" i="4"/>
  <c r="K13" i="4"/>
  <c r="C13" i="4"/>
  <c r="K12" i="4"/>
  <c r="C12" i="4"/>
  <c r="K11" i="4"/>
  <c r="C11" i="4"/>
  <c r="K10" i="4"/>
  <c r="C10" i="4"/>
  <c r="K9" i="4"/>
  <c r="C9" i="4"/>
  <c r="K8" i="4"/>
  <c r="C8" i="4"/>
  <c r="K7" i="4"/>
  <c r="C7" i="4"/>
  <c r="K6" i="4"/>
  <c r="C6" i="4"/>
  <c r="K5" i="4"/>
  <c r="C5" i="4"/>
  <c r="K4" i="4"/>
  <c r="C4" i="4"/>
  <c r="P50" i="2"/>
  <c r="M56" i="2"/>
  <c r="C52" i="2"/>
  <c r="E45" i="2" s="1"/>
  <c r="L48" i="2"/>
  <c r="J48" i="2"/>
  <c r="H48" i="2"/>
  <c r="F48" i="2"/>
  <c r="D48" i="2"/>
  <c r="B48" i="2"/>
  <c r="K46" i="2"/>
  <c r="I46" i="2"/>
  <c r="E46" i="2"/>
  <c r="C46" i="2"/>
  <c r="C45" i="2"/>
  <c r="C44" i="2"/>
  <c r="C41" i="2"/>
  <c r="K40" i="2"/>
  <c r="C40" i="2"/>
  <c r="C39" i="2"/>
  <c r="C38" i="2"/>
  <c r="C37" i="2"/>
  <c r="C34" i="2"/>
  <c r="C33" i="2"/>
  <c r="C30" i="2"/>
  <c r="K29" i="2"/>
  <c r="C29" i="2"/>
  <c r="K28" i="2"/>
  <c r="C28" i="2"/>
  <c r="C27" i="2"/>
  <c r="C26" i="2"/>
  <c r="C25" i="2"/>
  <c r="C24" i="2"/>
  <c r="C23" i="2"/>
  <c r="K22" i="2"/>
  <c r="C22" i="2"/>
  <c r="C21" i="2"/>
  <c r="C20" i="2"/>
  <c r="C19" i="2"/>
  <c r="C18" i="2"/>
  <c r="K15" i="2"/>
  <c r="C15" i="2"/>
  <c r="K14" i="2"/>
  <c r="C14" i="2"/>
  <c r="K13" i="2"/>
  <c r="C13" i="2"/>
  <c r="K12" i="2"/>
  <c r="C12" i="2"/>
  <c r="K11" i="2"/>
  <c r="C11" i="2"/>
  <c r="K10" i="2"/>
  <c r="C10" i="2"/>
  <c r="K9" i="2"/>
  <c r="C9" i="2"/>
  <c r="K8" i="2"/>
  <c r="C8" i="2"/>
  <c r="K7" i="2"/>
  <c r="C7" i="2"/>
  <c r="K6" i="2"/>
  <c r="C6" i="2"/>
  <c r="K5" i="2"/>
  <c r="C5" i="2"/>
  <c r="K4" i="2"/>
  <c r="C4" i="2"/>
  <c r="M56" i="1"/>
  <c r="C52" i="1"/>
  <c r="E41" i="1" s="1"/>
  <c r="L48" i="1"/>
  <c r="J48" i="1"/>
  <c r="H48" i="1"/>
  <c r="F48" i="1"/>
  <c r="D48" i="1"/>
  <c r="B48" i="1"/>
  <c r="K46" i="1"/>
  <c r="I46" i="1"/>
  <c r="E46" i="1"/>
  <c r="C46" i="1"/>
  <c r="C45" i="1"/>
  <c r="C44" i="1"/>
  <c r="C41" i="1"/>
  <c r="K40" i="1"/>
  <c r="C40" i="1"/>
  <c r="C39" i="1"/>
  <c r="C38" i="1"/>
  <c r="C37" i="1"/>
  <c r="C34" i="1"/>
  <c r="C33" i="1"/>
  <c r="C30" i="1"/>
  <c r="K29" i="1"/>
  <c r="C29" i="1"/>
  <c r="K28" i="1"/>
  <c r="C28" i="1"/>
  <c r="C27" i="1"/>
  <c r="C26" i="1"/>
  <c r="C25" i="1"/>
  <c r="C24" i="1"/>
  <c r="C23" i="1"/>
  <c r="K22" i="1"/>
  <c r="C22" i="1"/>
  <c r="C21" i="1"/>
  <c r="C20" i="1"/>
  <c r="C19" i="1"/>
  <c r="C18" i="1"/>
  <c r="K15" i="1"/>
  <c r="C15" i="1"/>
  <c r="K14" i="1"/>
  <c r="C14" i="1"/>
  <c r="K13" i="1"/>
  <c r="C13" i="1"/>
  <c r="K12" i="1"/>
  <c r="C12" i="1"/>
  <c r="K11" i="1"/>
  <c r="C11" i="1"/>
  <c r="K10" i="1"/>
  <c r="C10" i="1"/>
  <c r="K9" i="1"/>
  <c r="C9" i="1"/>
  <c r="K8" i="1"/>
  <c r="C8" i="1"/>
  <c r="K7" i="1"/>
  <c r="C7" i="1"/>
  <c r="K6" i="1"/>
  <c r="C6" i="1"/>
  <c r="K5" i="1"/>
  <c r="C5" i="1"/>
  <c r="K4" i="1"/>
  <c r="C4" i="1"/>
  <c r="J48" i="6" l="1"/>
  <c r="I48" i="6"/>
  <c r="J49" i="6"/>
  <c r="I49" i="6"/>
  <c r="J51" i="6"/>
  <c r="I51" i="6"/>
  <c r="I52" i="6"/>
  <c r="J52" i="6" s="1"/>
  <c r="J50" i="6"/>
  <c r="I50" i="6"/>
  <c r="I40" i="6"/>
  <c r="J40" i="6" s="1"/>
  <c r="I39" i="6"/>
  <c r="J39" i="6" s="1"/>
  <c r="I36" i="6"/>
  <c r="J36" i="6" s="1"/>
  <c r="E14" i="4"/>
  <c r="E13" i="4"/>
  <c r="E6" i="4"/>
  <c r="E4" i="4"/>
  <c r="E20" i="4"/>
  <c r="M20" i="4" s="1"/>
  <c r="N20" i="4" s="1"/>
  <c r="O20" i="4" s="1"/>
  <c r="E5" i="4"/>
  <c r="E12" i="4"/>
  <c r="E21" i="4"/>
  <c r="E29" i="4"/>
  <c r="E23" i="1"/>
  <c r="M23" i="1" s="1"/>
  <c r="N23" i="1" s="1"/>
  <c r="O23" i="1" s="1"/>
  <c r="P23" i="1" s="1"/>
  <c r="E4" i="1"/>
  <c r="E8" i="1"/>
  <c r="M46" i="1"/>
  <c r="N46" i="1" s="1"/>
  <c r="E21" i="1"/>
  <c r="E25" i="1"/>
  <c r="M25" i="1" s="1"/>
  <c r="N25" i="1" s="1"/>
  <c r="O25" i="1" s="1"/>
  <c r="P25" i="1" s="1"/>
  <c r="E33" i="1"/>
  <c r="M33" i="1" s="1"/>
  <c r="N33" i="1" s="1"/>
  <c r="O33" i="1" s="1"/>
  <c r="P33" i="1" s="1"/>
  <c r="C48" i="1"/>
  <c r="E22" i="1"/>
  <c r="M22" i="1" s="1"/>
  <c r="N22" i="1" s="1"/>
  <c r="O22" i="1" s="1"/>
  <c r="P22" i="1" s="1"/>
  <c r="E11" i="2"/>
  <c r="E39" i="2"/>
  <c r="E6" i="2"/>
  <c r="E14" i="2"/>
  <c r="E19" i="2"/>
  <c r="M19" i="2" s="1"/>
  <c r="N19" i="2" s="1"/>
  <c r="O19" i="2" s="1"/>
  <c r="E9" i="2"/>
  <c r="E25" i="2"/>
  <c r="M25" i="2" s="1"/>
  <c r="N25" i="2" s="1"/>
  <c r="O25" i="2" s="1"/>
  <c r="E12" i="2"/>
  <c r="E20" i="2"/>
  <c r="M20" i="2" s="1"/>
  <c r="N20" i="2" s="1"/>
  <c r="O20" i="2" s="1"/>
  <c r="E7" i="2"/>
  <c r="E15" i="2"/>
  <c r="E10" i="2"/>
  <c r="E4" i="2"/>
  <c r="E5" i="2"/>
  <c r="E13" i="2"/>
  <c r="E28" i="2"/>
  <c r="E8" i="2"/>
  <c r="E18" i="2"/>
  <c r="E22" i="2"/>
  <c r="M22" i="2" s="1"/>
  <c r="N22" i="2" s="1"/>
  <c r="O22" i="2" s="1"/>
  <c r="E26" i="2"/>
  <c r="M26" i="2" s="1"/>
  <c r="N26" i="2" s="1"/>
  <c r="O26" i="2" s="1"/>
  <c r="E23" i="2"/>
  <c r="M23" i="2" s="1"/>
  <c r="N23" i="2" s="1"/>
  <c r="O23" i="2" s="1"/>
  <c r="E24" i="2"/>
  <c r="M24" i="2" s="1"/>
  <c r="N24" i="2" s="1"/>
  <c r="O24" i="2" s="1"/>
  <c r="E27" i="2"/>
  <c r="E33" i="2"/>
  <c r="M33" i="2" s="1"/>
  <c r="N33" i="2" s="1"/>
  <c r="O33" i="2" s="1"/>
  <c r="E21" i="2"/>
  <c r="E29" i="2"/>
  <c r="E34" i="2"/>
  <c r="E37" i="2"/>
  <c r="E30" i="2"/>
  <c r="M30" i="2" s="1"/>
  <c r="N30" i="2" s="1"/>
  <c r="O30" i="2" s="1"/>
  <c r="D52" i="2"/>
  <c r="G29" i="2" s="1"/>
  <c r="C48" i="2"/>
  <c r="E44" i="2"/>
  <c r="M44" i="2" s="1"/>
  <c r="N44" i="2" s="1"/>
  <c r="O44" i="2" s="1"/>
  <c r="M45" i="2"/>
  <c r="N45" i="2" s="1"/>
  <c r="O45" i="2" s="1"/>
  <c r="M46" i="2"/>
  <c r="N46" i="2" s="1"/>
  <c r="O46" i="2" s="1"/>
  <c r="E38" i="2"/>
  <c r="E41" i="2"/>
  <c r="E40" i="2"/>
  <c r="M57" i="2"/>
  <c r="M58" i="2" s="1"/>
  <c r="E10" i="4"/>
  <c r="E8" i="4"/>
  <c r="M46" i="4"/>
  <c r="N46" i="4" s="1"/>
  <c r="E11" i="4"/>
  <c r="E9" i="4"/>
  <c r="E34" i="4"/>
  <c r="E7" i="4"/>
  <c r="E15" i="4"/>
  <c r="G41" i="4"/>
  <c r="E24" i="4"/>
  <c r="M24" i="4" s="1"/>
  <c r="N24" i="4" s="1"/>
  <c r="O24" i="4" s="1"/>
  <c r="E25" i="4"/>
  <c r="M25" i="4" s="1"/>
  <c r="N25" i="4" s="1"/>
  <c r="O25" i="4" s="1"/>
  <c r="E18" i="4"/>
  <c r="E22" i="4"/>
  <c r="M22" i="4" s="1"/>
  <c r="N22" i="4" s="1"/>
  <c r="O22" i="4" s="1"/>
  <c r="E26" i="4"/>
  <c r="M26" i="4" s="1"/>
  <c r="N26" i="4" s="1"/>
  <c r="O26" i="4" s="1"/>
  <c r="E19" i="4"/>
  <c r="M19" i="4" s="1"/>
  <c r="N19" i="4" s="1"/>
  <c r="O19" i="4" s="1"/>
  <c r="E23" i="4"/>
  <c r="M23" i="4" s="1"/>
  <c r="N23" i="4" s="1"/>
  <c r="O23" i="4" s="1"/>
  <c r="E38" i="4"/>
  <c r="E33" i="4"/>
  <c r="M33" i="4" s="1"/>
  <c r="N33" i="4" s="1"/>
  <c r="O33" i="4" s="1"/>
  <c r="E39" i="4"/>
  <c r="E44" i="4"/>
  <c r="M44" i="4" s="1"/>
  <c r="N44" i="4" s="1"/>
  <c r="O44" i="4" s="1"/>
  <c r="E45" i="4"/>
  <c r="M45" i="4" s="1"/>
  <c r="N45" i="4" s="1"/>
  <c r="O45" i="4" s="1"/>
  <c r="C48" i="4"/>
  <c r="E41" i="4"/>
  <c r="E27" i="4"/>
  <c r="E30" i="4"/>
  <c r="M30" i="4" s="1"/>
  <c r="N30" i="4" s="1"/>
  <c r="O30" i="4" s="1"/>
  <c r="E40" i="4"/>
  <c r="E28" i="4"/>
  <c r="K48" i="4"/>
  <c r="G27" i="4"/>
  <c r="K48" i="2"/>
  <c r="E5" i="1"/>
  <c r="E9" i="1"/>
  <c r="E13" i="1"/>
  <c r="E20" i="1"/>
  <c r="M20" i="1" s="1"/>
  <c r="N20" i="1" s="1"/>
  <c r="E45" i="1"/>
  <c r="M45" i="1" s="1"/>
  <c r="N45" i="1" s="1"/>
  <c r="K48" i="1"/>
  <c r="D52" i="1"/>
  <c r="E18" i="1"/>
  <c r="E37" i="1"/>
  <c r="E44" i="1"/>
  <c r="M44" i="1" s="1"/>
  <c r="N44" i="1" s="1"/>
  <c r="E6" i="1"/>
  <c r="E10" i="1"/>
  <c r="E14" i="1"/>
  <c r="E38" i="1"/>
  <c r="E19" i="1"/>
  <c r="M19" i="1" s="1"/>
  <c r="N19" i="1" s="1"/>
  <c r="E27" i="1"/>
  <c r="E28" i="1"/>
  <c r="E39" i="1"/>
  <c r="E7" i="1"/>
  <c r="E11" i="1"/>
  <c r="E15" i="1"/>
  <c r="E26" i="1"/>
  <c r="M26" i="1" s="1"/>
  <c r="N26" i="1" s="1"/>
  <c r="E29" i="1"/>
  <c r="E40" i="1"/>
  <c r="E12" i="1"/>
  <c r="E24" i="1"/>
  <c r="M24" i="1" s="1"/>
  <c r="N24" i="1" s="1"/>
  <c r="E30" i="1"/>
  <c r="M30" i="1" s="1"/>
  <c r="N30" i="1" s="1"/>
  <c r="E34" i="1"/>
  <c r="Q22" i="1" l="1"/>
  <c r="B21" i="6"/>
  <c r="I21" i="6" s="1"/>
  <c r="J21" i="6" s="1"/>
  <c r="Q23" i="1"/>
  <c r="B22" i="6"/>
  <c r="I22" i="6" s="1"/>
  <c r="J22" i="6" s="1"/>
  <c r="Q25" i="1"/>
  <c r="B24" i="6"/>
  <c r="I24" i="6" s="1"/>
  <c r="J24" i="6" s="1"/>
  <c r="Q33" i="1"/>
  <c r="B32" i="6"/>
  <c r="I32" i="6" s="1"/>
  <c r="J32" i="6" s="1"/>
  <c r="M27" i="4"/>
  <c r="N27" i="4" s="1"/>
  <c r="O27" i="4" s="1"/>
  <c r="P27" i="4" s="1"/>
  <c r="O46" i="4"/>
  <c r="P46" i="4" s="1"/>
  <c r="G9" i="4"/>
  <c r="G11" i="4"/>
  <c r="G39" i="4"/>
  <c r="G12" i="4"/>
  <c r="G14" i="4"/>
  <c r="G8" i="4"/>
  <c r="G10" i="4"/>
  <c r="G4" i="4"/>
  <c r="G5" i="4"/>
  <c r="G18" i="4"/>
  <c r="M18" i="4" s="1"/>
  <c r="N18" i="4" s="1"/>
  <c r="O18" i="4" s="1"/>
  <c r="P18" i="4" s="1"/>
  <c r="I7" i="4"/>
  <c r="G29" i="4"/>
  <c r="G15" i="4"/>
  <c r="O46" i="1"/>
  <c r="P46" i="1" s="1"/>
  <c r="O26" i="1"/>
  <c r="P26" i="1" s="1"/>
  <c r="O30" i="1"/>
  <c r="P30" i="1" s="1"/>
  <c r="O24" i="1"/>
  <c r="P24" i="1" s="1"/>
  <c r="O44" i="1"/>
  <c r="P44" i="1" s="1"/>
  <c r="O45" i="1"/>
  <c r="P45" i="1" s="1"/>
  <c r="O20" i="1"/>
  <c r="P20" i="1" s="1"/>
  <c r="E48" i="1"/>
  <c r="O19" i="1"/>
  <c r="P19" i="1" s="1"/>
  <c r="G41" i="2"/>
  <c r="P46" i="2"/>
  <c r="P25" i="2"/>
  <c r="P23" i="2"/>
  <c r="P22" i="2"/>
  <c r="P45" i="2"/>
  <c r="P24" i="2"/>
  <c r="P44" i="2"/>
  <c r="P33" i="2"/>
  <c r="P30" i="2"/>
  <c r="P26" i="2"/>
  <c r="P20" i="2"/>
  <c r="G18" i="2"/>
  <c r="M18" i="2" s="1"/>
  <c r="N18" i="2" s="1"/>
  <c r="O18" i="2" s="1"/>
  <c r="G34" i="2"/>
  <c r="G12" i="2"/>
  <c r="G7" i="2"/>
  <c r="G27" i="2"/>
  <c r="M27" i="2" s="1"/>
  <c r="N27" i="2" s="1"/>
  <c r="G11" i="2"/>
  <c r="G37" i="2"/>
  <c r="E48" i="2"/>
  <c r="G8" i="2"/>
  <c r="G13" i="2"/>
  <c r="G4" i="2"/>
  <c r="G9" i="2"/>
  <c r="G38" i="2"/>
  <c r="G5" i="2"/>
  <c r="G39" i="2"/>
  <c r="G40" i="2"/>
  <c r="G6" i="2"/>
  <c r="G15" i="2"/>
  <c r="G10" i="2"/>
  <c r="E52" i="2"/>
  <c r="I38" i="2" s="1"/>
  <c r="G14" i="2"/>
  <c r="P19" i="2"/>
  <c r="M57" i="1"/>
  <c r="M58" i="1" s="1"/>
  <c r="G40" i="4"/>
  <c r="G6" i="4"/>
  <c r="G34" i="4"/>
  <c r="G7" i="4"/>
  <c r="G37" i="4"/>
  <c r="G38" i="4"/>
  <c r="G13" i="4"/>
  <c r="P45" i="4"/>
  <c r="P44" i="4"/>
  <c r="P23" i="4"/>
  <c r="P25" i="4"/>
  <c r="P22" i="4"/>
  <c r="P24" i="4"/>
  <c r="P19" i="4"/>
  <c r="P30" i="4"/>
  <c r="P26" i="4"/>
  <c r="P33" i="4"/>
  <c r="P20" i="4"/>
  <c r="E48" i="4"/>
  <c r="I15" i="4"/>
  <c r="G29" i="1"/>
  <c r="G11" i="1"/>
  <c r="G40" i="1"/>
  <c r="G39" i="1"/>
  <c r="G27" i="1"/>
  <c r="M27" i="1" s="1"/>
  <c r="N27" i="1" s="1"/>
  <c r="G13" i="1"/>
  <c r="G8" i="1"/>
  <c r="G4" i="1"/>
  <c r="G15" i="1"/>
  <c r="G7" i="1"/>
  <c r="G38" i="1"/>
  <c r="G14" i="1"/>
  <c r="G10" i="1"/>
  <c r="G6" i="1"/>
  <c r="G34" i="1"/>
  <c r="G37" i="1"/>
  <c r="G18" i="1"/>
  <c r="M18" i="1" s="1"/>
  <c r="N18" i="1" s="1"/>
  <c r="O18" i="1" s="1"/>
  <c r="E52" i="1"/>
  <c r="G9" i="1"/>
  <c r="G5" i="1"/>
  <c r="G41" i="1"/>
  <c r="G12" i="1"/>
  <c r="Q27" i="4" l="1"/>
  <c r="B26" i="9"/>
  <c r="H26" i="9" s="1"/>
  <c r="I26" i="9" s="1"/>
  <c r="Q24" i="4"/>
  <c r="B23" i="9"/>
  <c r="H23" i="9" s="1"/>
  <c r="I23" i="9" s="1"/>
  <c r="Q26" i="4"/>
  <c r="B25" i="9"/>
  <c r="H25" i="9" s="1"/>
  <c r="I25" i="9" s="1"/>
  <c r="Q22" i="4"/>
  <c r="B21" i="9"/>
  <c r="H21" i="9" s="1"/>
  <c r="I21" i="9" s="1"/>
  <c r="Q45" i="4"/>
  <c r="B44" i="9"/>
  <c r="H44" i="9" s="1"/>
  <c r="I44" i="9" s="1"/>
  <c r="Q18" i="4"/>
  <c r="B17" i="9"/>
  <c r="H17" i="9" s="1"/>
  <c r="I17" i="9" s="1"/>
  <c r="Q20" i="4"/>
  <c r="B19" i="9"/>
  <c r="H19" i="9" s="1"/>
  <c r="I19" i="9" s="1"/>
  <c r="Q30" i="4"/>
  <c r="B29" i="9"/>
  <c r="H29" i="9" s="1"/>
  <c r="I29" i="9" s="1"/>
  <c r="Q25" i="4"/>
  <c r="B24" i="9"/>
  <c r="H24" i="9" s="1"/>
  <c r="I24" i="9" s="1"/>
  <c r="Q33" i="4"/>
  <c r="B32" i="9"/>
  <c r="H32" i="9" s="1"/>
  <c r="I32" i="9" s="1"/>
  <c r="Q19" i="4"/>
  <c r="B18" i="9"/>
  <c r="H18" i="9" s="1"/>
  <c r="I18" i="9" s="1"/>
  <c r="Q23" i="4"/>
  <c r="B22" i="9"/>
  <c r="H22" i="9" s="1"/>
  <c r="I22" i="9" s="1"/>
  <c r="Q46" i="4"/>
  <c r="B45" i="9"/>
  <c r="H45" i="9" s="1"/>
  <c r="I45" i="9" s="1"/>
  <c r="Q44" i="4"/>
  <c r="B43" i="9"/>
  <c r="H43" i="9" s="1"/>
  <c r="I43" i="9" s="1"/>
  <c r="Q26" i="1"/>
  <c r="B25" i="6"/>
  <c r="I25" i="6" s="1"/>
  <c r="J25" i="6" s="1"/>
  <c r="Q19" i="1"/>
  <c r="B18" i="6"/>
  <c r="I18" i="6" s="1"/>
  <c r="J18" i="6" s="1"/>
  <c r="Q46" i="1"/>
  <c r="B45" i="6"/>
  <c r="I45" i="6" s="1"/>
  <c r="J45" i="6" s="1"/>
  <c r="Q24" i="1"/>
  <c r="B23" i="6"/>
  <c r="I23" i="6" s="1"/>
  <c r="J23" i="6" s="1"/>
  <c r="Q45" i="1"/>
  <c r="B44" i="6"/>
  <c r="I44" i="6" s="1"/>
  <c r="J44" i="6" s="1"/>
  <c r="Q44" i="1"/>
  <c r="B43" i="6"/>
  <c r="I43" i="6" s="1"/>
  <c r="J43" i="6" s="1"/>
  <c r="Q20" i="1"/>
  <c r="B19" i="6"/>
  <c r="I19" i="6" s="1"/>
  <c r="J19" i="6" s="1"/>
  <c r="Q30" i="1"/>
  <c r="B29" i="6"/>
  <c r="I29" i="6" s="1"/>
  <c r="J29" i="6" s="1"/>
  <c r="Q19" i="2"/>
  <c r="B18" i="8"/>
  <c r="H18" i="8" s="1"/>
  <c r="I18" i="8" s="1"/>
  <c r="Q30" i="2"/>
  <c r="B29" i="8"/>
  <c r="H29" i="8" s="1"/>
  <c r="I29" i="8" s="1"/>
  <c r="Q45" i="2"/>
  <c r="B44" i="8"/>
  <c r="H44" i="8" s="1"/>
  <c r="I44" i="8" s="1"/>
  <c r="Q46" i="2"/>
  <c r="B45" i="8"/>
  <c r="H45" i="8" s="1"/>
  <c r="I45" i="8" s="1"/>
  <c r="Q33" i="2"/>
  <c r="B32" i="8"/>
  <c r="H32" i="8" s="1"/>
  <c r="I32" i="8" s="1"/>
  <c r="Q22" i="2"/>
  <c r="B21" i="8"/>
  <c r="H21" i="8" s="1"/>
  <c r="I21" i="8" s="1"/>
  <c r="Q20" i="2"/>
  <c r="B19" i="8"/>
  <c r="H19" i="8" s="1"/>
  <c r="I19" i="8" s="1"/>
  <c r="Q44" i="2"/>
  <c r="B43" i="8"/>
  <c r="H43" i="8" s="1"/>
  <c r="I43" i="8" s="1"/>
  <c r="Q23" i="2"/>
  <c r="B22" i="8"/>
  <c r="H22" i="8" s="1"/>
  <c r="I22" i="8" s="1"/>
  <c r="Q26" i="2"/>
  <c r="B25" i="8"/>
  <c r="H25" i="8" s="1"/>
  <c r="I25" i="8" s="1"/>
  <c r="Q24" i="2"/>
  <c r="B23" i="8"/>
  <c r="H23" i="8" s="1"/>
  <c r="I23" i="8" s="1"/>
  <c r="Q25" i="2"/>
  <c r="B24" i="8"/>
  <c r="H24" i="8" s="1"/>
  <c r="I24" i="8" s="1"/>
  <c r="I21" i="4"/>
  <c r="M21" i="4" s="1"/>
  <c r="N21" i="4" s="1"/>
  <c r="O21" i="4" s="1"/>
  <c r="P21" i="4" s="1"/>
  <c r="I10" i="4"/>
  <c r="M10" i="4" s="1"/>
  <c r="N10" i="4" s="1"/>
  <c r="O10" i="4" s="1"/>
  <c r="P10" i="4" s="1"/>
  <c r="I34" i="4"/>
  <c r="M34" i="4" s="1"/>
  <c r="N34" i="4" s="1"/>
  <c r="O34" i="4" s="1"/>
  <c r="I14" i="4"/>
  <c r="M14" i="4" s="1"/>
  <c r="N14" i="4" s="1"/>
  <c r="O14" i="4" s="1"/>
  <c r="P14" i="4" s="1"/>
  <c r="I11" i="4"/>
  <c r="M11" i="4" s="1"/>
  <c r="N11" i="4" s="1"/>
  <c r="O11" i="4" s="1"/>
  <c r="P11" i="4" s="1"/>
  <c r="I9" i="4"/>
  <c r="M9" i="4" s="1"/>
  <c r="N9" i="4" s="1"/>
  <c r="O9" i="4" s="1"/>
  <c r="P9" i="4" s="1"/>
  <c r="I39" i="4"/>
  <c r="M39" i="4" s="1"/>
  <c r="N39" i="4" s="1"/>
  <c r="O39" i="4" s="1"/>
  <c r="P39" i="4" s="1"/>
  <c r="I4" i="4"/>
  <c r="M4" i="4" s="1"/>
  <c r="N4" i="4" s="1"/>
  <c r="O4" i="4" s="1"/>
  <c r="I13" i="4"/>
  <c r="M13" i="4" s="1"/>
  <c r="N13" i="4" s="1"/>
  <c r="O13" i="4" s="1"/>
  <c r="P13" i="4" s="1"/>
  <c r="I29" i="4"/>
  <c r="M29" i="4" s="1"/>
  <c r="N29" i="4" s="1"/>
  <c r="O29" i="4" s="1"/>
  <c r="P29" i="4" s="1"/>
  <c r="I41" i="4"/>
  <c r="M41" i="4" s="1"/>
  <c r="N41" i="4" s="1"/>
  <c r="O41" i="4" s="1"/>
  <c r="P41" i="4" s="1"/>
  <c r="I28" i="4"/>
  <c r="M28" i="4" s="1"/>
  <c r="N28" i="4" s="1"/>
  <c r="O28" i="4" s="1"/>
  <c r="P28" i="4" s="1"/>
  <c r="I5" i="4"/>
  <c r="M5" i="4" s="1"/>
  <c r="N5" i="4" s="1"/>
  <c r="O5" i="4" s="1"/>
  <c r="P5" i="4" s="1"/>
  <c r="I38" i="4"/>
  <c r="M38" i="4" s="1"/>
  <c r="N38" i="4" s="1"/>
  <c r="I8" i="4"/>
  <c r="M8" i="4" s="1"/>
  <c r="N8" i="4" s="1"/>
  <c r="O8" i="4" s="1"/>
  <c r="P8" i="4" s="1"/>
  <c r="I37" i="4"/>
  <c r="M37" i="4" s="1"/>
  <c r="N37" i="4" s="1"/>
  <c r="O37" i="4" s="1"/>
  <c r="P37" i="4" s="1"/>
  <c r="I40" i="4"/>
  <c r="M40" i="4" s="1"/>
  <c r="N40" i="4" s="1"/>
  <c r="O40" i="4" s="1"/>
  <c r="P40" i="4" s="1"/>
  <c r="I12" i="4"/>
  <c r="M12" i="4" s="1"/>
  <c r="N12" i="4" s="1"/>
  <c r="O12" i="4" s="1"/>
  <c r="P12" i="4" s="1"/>
  <c r="I6" i="4"/>
  <c r="M6" i="4" s="1"/>
  <c r="N6" i="4" s="1"/>
  <c r="O6" i="4" s="1"/>
  <c r="M15" i="4"/>
  <c r="N15" i="4" s="1"/>
  <c r="O27" i="2"/>
  <c r="P27" i="2" s="1"/>
  <c r="O27" i="1"/>
  <c r="P27" i="1" s="1"/>
  <c r="P18" i="2"/>
  <c r="M38" i="2"/>
  <c r="N38" i="2" s="1"/>
  <c r="I8" i="2"/>
  <c r="M8" i="2" s="1"/>
  <c r="N8" i="2" s="1"/>
  <c r="O8" i="2" s="1"/>
  <c r="I9" i="2"/>
  <c r="M9" i="2" s="1"/>
  <c r="N9" i="2" s="1"/>
  <c r="O9" i="2" s="1"/>
  <c r="I7" i="2"/>
  <c r="M7" i="2" s="1"/>
  <c r="N7" i="2" s="1"/>
  <c r="O7" i="2" s="1"/>
  <c r="G48" i="2"/>
  <c r="I13" i="2"/>
  <c r="M13" i="2" s="1"/>
  <c r="N13" i="2" s="1"/>
  <c r="I39" i="2"/>
  <c r="M39" i="2" s="1"/>
  <c r="N39" i="2" s="1"/>
  <c r="O39" i="2" s="1"/>
  <c r="I11" i="2"/>
  <c r="M11" i="2" s="1"/>
  <c r="N11" i="2" s="1"/>
  <c r="O11" i="2" s="1"/>
  <c r="I4" i="2"/>
  <c r="M4" i="2" s="1"/>
  <c r="N4" i="2" s="1"/>
  <c r="O4" i="2" s="1"/>
  <c r="I37" i="2"/>
  <c r="M37" i="2" s="1"/>
  <c r="N37" i="2" s="1"/>
  <c r="O37" i="2" s="1"/>
  <c r="I15" i="2"/>
  <c r="M15" i="2" s="1"/>
  <c r="N15" i="2" s="1"/>
  <c r="O15" i="2" s="1"/>
  <c r="I12" i="2"/>
  <c r="M12" i="2" s="1"/>
  <c r="N12" i="2" s="1"/>
  <c r="O12" i="2" s="1"/>
  <c r="I6" i="2"/>
  <c r="M6" i="2" s="1"/>
  <c r="N6" i="2" s="1"/>
  <c r="I29" i="2"/>
  <c r="M29" i="2" s="1"/>
  <c r="N29" i="2" s="1"/>
  <c r="O29" i="2" s="1"/>
  <c r="I21" i="2"/>
  <c r="M21" i="2" s="1"/>
  <c r="N21" i="2" s="1"/>
  <c r="O21" i="2" s="1"/>
  <c r="I10" i="2"/>
  <c r="M10" i="2" s="1"/>
  <c r="N10" i="2" s="1"/>
  <c r="I40" i="2"/>
  <c r="M40" i="2" s="1"/>
  <c r="N40" i="2" s="1"/>
  <c r="O40" i="2" s="1"/>
  <c r="I34" i="2"/>
  <c r="M34" i="2" s="1"/>
  <c r="N34" i="2" s="1"/>
  <c r="O34" i="2" s="1"/>
  <c r="I14" i="2"/>
  <c r="M14" i="2" s="1"/>
  <c r="N14" i="2" s="1"/>
  <c r="O14" i="2" s="1"/>
  <c r="I41" i="2"/>
  <c r="M41" i="2" s="1"/>
  <c r="N41" i="2" s="1"/>
  <c r="O41" i="2" s="1"/>
  <c r="I28" i="2"/>
  <c r="M28" i="2" s="1"/>
  <c r="N28" i="2" s="1"/>
  <c r="I5" i="2"/>
  <c r="M5" i="2" s="1"/>
  <c r="N5" i="2" s="1"/>
  <c r="O5" i="2" s="1"/>
  <c r="M7" i="4"/>
  <c r="N7" i="4" s="1"/>
  <c r="O7" i="4" s="1"/>
  <c r="P7" i="4" s="1"/>
  <c r="G48" i="4"/>
  <c r="G48" i="1"/>
  <c r="P18" i="1"/>
  <c r="I40" i="1"/>
  <c r="M40" i="1" s="1"/>
  <c r="N40" i="1" s="1"/>
  <c r="I29" i="1"/>
  <c r="M29" i="1" s="1"/>
  <c r="N29" i="1" s="1"/>
  <c r="I15" i="1"/>
  <c r="M15" i="1" s="1"/>
  <c r="N15" i="1" s="1"/>
  <c r="I11" i="1"/>
  <c r="M11" i="1" s="1"/>
  <c r="N11" i="1" s="1"/>
  <c r="I7" i="1"/>
  <c r="M7" i="1" s="1"/>
  <c r="N7" i="1" s="1"/>
  <c r="I39" i="1"/>
  <c r="M39" i="1" s="1"/>
  <c r="N39" i="1" s="1"/>
  <c r="I38" i="1"/>
  <c r="M38" i="1" s="1"/>
  <c r="N38" i="1" s="1"/>
  <c r="I28" i="1"/>
  <c r="M28" i="1" s="1"/>
  <c r="N28" i="1" s="1"/>
  <c r="I14" i="1"/>
  <c r="M14" i="1" s="1"/>
  <c r="N14" i="1" s="1"/>
  <c r="I10" i="1"/>
  <c r="M10" i="1" s="1"/>
  <c r="N10" i="1" s="1"/>
  <c r="I6" i="1"/>
  <c r="M6" i="1" s="1"/>
  <c r="N6" i="1" s="1"/>
  <c r="I37" i="1"/>
  <c r="M37" i="1" s="1"/>
  <c r="N37" i="1" s="1"/>
  <c r="I13" i="1"/>
  <c r="M13" i="1" s="1"/>
  <c r="N13" i="1" s="1"/>
  <c r="I9" i="1"/>
  <c r="M9" i="1" s="1"/>
  <c r="N9" i="1" s="1"/>
  <c r="I5" i="1"/>
  <c r="M5" i="1" s="1"/>
  <c r="N5" i="1" s="1"/>
  <c r="I41" i="1"/>
  <c r="M41" i="1" s="1"/>
  <c r="N41" i="1" s="1"/>
  <c r="I34" i="1"/>
  <c r="M34" i="1" s="1"/>
  <c r="N34" i="1" s="1"/>
  <c r="I21" i="1"/>
  <c r="M21" i="1" s="1"/>
  <c r="N21" i="1" s="1"/>
  <c r="I12" i="1"/>
  <c r="M12" i="1" s="1"/>
  <c r="N12" i="1" s="1"/>
  <c r="I8" i="1"/>
  <c r="M8" i="1" s="1"/>
  <c r="N8" i="1" s="1"/>
  <c r="I4" i="1"/>
  <c r="Q41" i="4" l="1"/>
  <c r="B40" i="9"/>
  <c r="H40" i="9" s="1"/>
  <c r="I40" i="9" s="1"/>
  <c r="Q10" i="4"/>
  <c r="B9" i="9"/>
  <c r="H9" i="9" s="1"/>
  <c r="I9" i="9" s="1"/>
  <c r="Q40" i="4"/>
  <c r="B39" i="9"/>
  <c r="H39" i="9" s="1"/>
  <c r="I39" i="9" s="1"/>
  <c r="Q14" i="4"/>
  <c r="B13" i="9"/>
  <c r="H13" i="9" s="1"/>
  <c r="I13" i="9" s="1"/>
  <c r="Q5" i="4"/>
  <c r="B4" i="9"/>
  <c r="H4" i="9" s="1"/>
  <c r="I4" i="9" s="1"/>
  <c r="Q13" i="4"/>
  <c r="B12" i="9"/>
  <c r="H12" i="9" s="1"/>
  <c r="I12" i="9" s="1"/>
  <c r="Q11" i="4"/>
  <c r="B10" i="9"/>
  <c r="H10" i="9" s="1"/>
  <c r="I10" i="9" s="1"/>
  <c r="Q37" i="4"/>
  <c r="B36" i="9"/>
  <c r="H36" i="9" s="1"/>
  <c r="I36" i="9" s="1"/>
  <c r="Q28" i="4"/>
  <c r="B27" i="9"/>
  <c r="H27" i="9" s="1"/>
  <c r="I27" i="9" s="1"/>
  <c r="Q8" i="4"/>
  <c r="B7" i="9"/>
  <c r="H7" i="9" s="1"/>
  <c r="I7" i="9" s="1"/>
  <c r="Q39" i="4"/>
  <c r="B38" i="9"/>
  <c r="H38" i="9" s="1"/>
  <c r="I38" i="9" s="1"/>
  <c r="Q7" i="4"/>
  <c r="B6" i="9"/>
  <c r="H6" i="9" s="1"/>
  <c r="I6" i="9" s="1"/>
  <c r="Q9" i="4"/>
  <c r="B8" i="9"/>
  <c r="H8" i="9" s="1"/>
  <c r="I8" i="9" s="1"/>
  <c r="Q12" i="4"/>
  <c r="B11" i="9"/>
  <c r="H11" i="9" s="1"/>
  <c r="I11" i="9" s="1"/>
  <c r="Q29" i="4"/>
  <c r="B28" i="9"/>
  <c r="H28" i="9" s="1"/>
  <c r="I28" i="9" s="1"/>
  <c r="Q21" i="4"/>
  <c r="B20" i="9"/>
  <c r="H20" i="9" s="1"/>
  <c r="I20" i="9" s="1"/>
  <c r="Q27" i="1"/>
  <c r="B26" i="6"/>
  <c r="I26" i="6" s="1"/>
  <c r="J26" i="6" s="1"/>
  <c r="Q18" i="1"/>
  <c r="B17" i="6"/>
  <c r="I17" i="6" s="1"/>
  <c r="J17" i="6" s="1"/>
  <c r="Q18" i="2"/>
  <c r="B17" i="8"/>
  <c r="H17" i="8" s="1"/>
  <c r="I17" i="8" s="1"/>
  <c r="Q27" i="2"/>
  <c r="B26" i="8"/>
  <c r="H26" i="8" s="1"/>
  <c r="I26" i="8" s="1"/>
  <c r="I48" i="4"/>
  <c r="M48" i="4" s="1"/>
  <c r="N48" i="4" s="1"/>
  <c r="N17" i="4"/>
  <c r="O17" i="4" s="1"/>
  <c r="O38" i="4"/>
  <c r="P38" i="4" s="1"/>
  <c r="O15" i="4"/>
  <c r="P15" i="4" s="1"/>
  <c r="P34" i="4"/>
  <c r="P6" i="4"/>
  <c r="O38" i="2"/>
  <c r="P38" i="2" s="1"/>
  <c r="O10" i="2"/>
  <c r="P10" i="2" s="1"/>
  <c r="O13" i="2"/>
  <c r="P13" i="2" s="1"/>
  <c r="O28" i="2"/>
  <c r="P28" i="2" s="1"/>
  <c r="O6" i="2"/>
  <c r="P6" i="2" s="1"/>
  <c r="O21" i="1"/>
  <c r="P21" i="1" s="1"/>
  <c r="O14" i="1"/>
  <c r="P14" i="1" s="1"/>
  <c r="O28" i="1"/>
  <c r="P28" i="1" s="1"/>
  <c r="O29" i="1"/>
  <c r="P29" i="1" s="1"/>
  <c r="O41" i="1"/>
  <c r="P41" i="1" s="1"/>
  <c r="Q41" i="1" s="1"/>
  <c r="O9" i="1"/>
  <c r="P9" i="1" s="1"/>
  <c r="O39" i="1"/>
  <c r="P39" i="1" s="1"/>
  <c r="Q39" i="1" s="1"/>
  <c r="O10" i="1"/>
  <c r="P10" i="1" s="1"/>
  <c r="O38" i="1"/>
  <c r="P38" i="1" s="1"/>
  <c r="Q38" i="1" s="1"/>
  <c r="O13" i="1"/>
  <c r="P13" i="1" s="1"/>
  <c r="O7" i="1"/>
  <c r="P7" i="1" s="1"/>
  <c r="O40" i="1"/>
  <c r="P40" i="1" s="1"/>
  <c r="Q40" i="1" s="1"/>
  <c r="O5" i="1"/>
  <c r="P5" i="1" s="1"/>
  <c r="O8" i="1"/>
  <c r="P8" i="1" s="1"/>
  <c r="O37" i="1"/>
  <c r="P37" i="1" s="1"/>
  <c r="Q37" i="1" s="1"/>
  <c r="O11" i="1"/>
  <c r="P11" i="1" s="1"/>
  <c r="O34" i="1"/>
  <c r="P34" i="1" s="1"/>
  <c r="O12" i="1"/>
  <c r="P12" i="1" s="1"/>
  <c r="O6" i="1"/>
  <c r="P6" i="1" s="1"/>
  <c r="O15" i="1"/>
  <c r="P15" i="1" s="1"/>
  <c r="P41" i="2"/>
  <c r="P12" i="2"/>
  <c r="P7" i="2"/>
  <c r="P5" i="2"/>
  <c r="P14" i="2"/>
  <c r="P15" i="2"/>
  <c r="P9" i="2"/>
  <c r="P34" i="2"/>
  <c r="P37" i="2"/>
  <c r="P8" i="2"/>
  <c r="P29" i="2"/>
  <c r="P40" i="2"/>
  <c r="P11" i="2"/>
  <c r="P39" i="2"/>
  <c r="N17" i="2"/>
  <c r="I48" i="2"/>
  <c r="M48" i="2" s="1"/>
  <c r="N48" i="2" s="1"/>
  <c r="P21" i="2"/>
  <c r="N3" i="4"/>
  <c r="N3" i="2"/>
  <c r="I48" i="1"/>
  <c r="M48" i="1" s="1"/>
  <c r="N48" i="1" s="1"/>
  <c r="M4" i="1"/>
  <c r="N4" i="1" s="1"/>
  <c r="O4" i="1" s="1"/>
  <c r="N17" i="1"/>
  <c r="Q15" i="4" l="1"/>
  <c r="B14" i="9"/>
  <c r="H14" i="9" s="1"/>
  <c r="I14" i="9" s="1"/>
  <c r="Q6" i="4"/>
  <c r="B5" i="9"/>
  <c r="H5" i="9" s="1"/>
  <c r="I5" i="9" s="1"/>
  <c r="Q38" i="4"/>
  <c r="B37" i="9"/>
  <c r="H37" i="9" s="1"/>
  <c r="I37" i="9" s="1"/>
  <c r="Q34" i="4"/>
  <c r="B33" i="9"/>
  <c r="H33" i="9" s="1"/>
  <c r="I33" i="9" s="1"/>
  <c r="Q34" i="1"/>
  <c r="B33" i="6"/>
  <c r="I33" i="6" s="1"/>
  <c r="J33" i="6" s="1"/>
  <c r="Q5" i="1"/>
  <c r="B4" i="6"/>
  <c r="I4" i="6" s="1"/>
  <c r="Q21" i="1"/>
  <c r="B20" i="6"/>
  <c r="I20" i="6" s="1"/>
  <c r="J20" i="6" s="1"/>
  <c r="Q15" i="1"/>
  <c r="B14" i="6"/>
  <c r="I14" i="6" s="1"/>
  <c r="J14" i="6" s="1"/>
  <c r="Q11" i="1"/>
  <c r="B10" i="6"/>
  <c r="I10" i="6" s="1"/>
  <c r="J10" i="6" s="1"/>
  <c r="Q10" i="1"/>
  <c r="B9" i="6"/>
  <c r="I9" i="6" s="1"/>
  <c r="J9" i="6" s="1"/>
  <c r="Q6" i="1"/>
  <c r="B5" i="6"/>
  <c r="I5" i="6" s="1"/>
  <c r="J5" i="6" s="1"/>
  <c r="Q7" i="1"/>
  <c r="B6" i="6"/>
  <c r="I6" i="6" s="1"/>
  <c r="J6" i="6" s="1"/>
  <c r="Q28" i="1"/>
  <c r="B27" i="6"/>
  <c r="I27" i="6" s="1"/>
  <c r="J27" i="6" s="1"/>
  <c r="Q29" i="1"/>
  <c r="B28" i="6"/>
  <c r="I28" i="6" s="1"/>
  <c r="J28" i="6" s="1"/>
  <c r="Q12" i="1"/>
  <c r="B11" i="6"/>
  <c r="I11" i="6" s="1"/>
  <c r="J11" i="6" s="1"/>
  <c r="Q8" i="1"/>
  <c r="B7" i="6"/>
  <c r="I7" i="6" s="1"/>
  <c r="J7" i="6" s="1"/>
  <c r="Q13" i="1"/>
  <c r="B12" i="6"/>
  <c r="I12" i="6" s="1"/>
  <c r="J12" i="6" s="1"/>
  <c r="Q9" i="1"/>
  <c r="B8" i="6"/>
  <c r="I8" i="6" s="1"/>
  <c r="J8" i="6" s="1"/>
  <c r="Q14" i="1"/>
  <c r="B13" i="6"/>
  <c r="I13" i="6" s="1"/>
  <c r="J13" i="6" s="1"/>
  <c r="Q21" i="2"/>
  <c r="B20" i="8"/>
  <c r="H20" i="8" s="1"/>
  <c r="I20" i="8" s="1"/>
  <c r="Q11" i="2"/>
  <c r="B10" i="8"/>
  <c r="H10" i="8" s="1"/>
  <c r="I10" i="8" s="1"/>
  <c r="Q37" i="2"/>
  <c r="B36" i="8"/>
  <c r="H36" i="8" s="1"/>
  <c r="I36" i="8" s="1"/>
  <c r="Q14" i="2"/>
  <c r="B13" i="8"/>
  <c r="H13" i="8" s="1"/>
  <c r="I13" i="8" s="1"/>
  <c r="Q41" i="2"/>
  <c r="B40" i="8"/>
  <c r="H40" i="8" s="1"/>
  <c r="I40" i="8" s="1"/>
  <c r="Q10" i="2"/>
  <c r="B9" i="8"/>
  <c r="H9" i="8" s="1"/>
  <c r="I9" i="8" s="1"/>
  <c r="Q40" i="2"/>
  <c r="B39" i="8"/>
  <c r="H39" i="8" s="1"/>
  <c r="I39" i="8" s="1"/>
  <c r="Q34" i="2"/>
  <c r="B33" i="8"/>
  <c r="H33" i="8" s="1"/>
  <c r="I33" i="8" s="1"/>
  <c r="Q5" i="2"/>
  <c r="B4" i="8"/>
  <c r="H4" i="8" s="1"/>
  <c r="I4" i="8" s="1"/>
  <c r="Q6" i="2"/>
  <c r="B5" i="8"/>
  <c r="H5" i="8" s="1"/>
  <c r="I5" i="8" s="1"/>
  <c r="Q38" i="2"/>
  <c r="B37" i="8"/>
  <c r="H37" i="8" s="1"/>
  <c r="I37" i="8" s="1"/>
  <c r="Q29" i="2"/>
  <c r="B28" i="8"/>
  <c r="H28" i="8" s="1"/>
  <c r="I28" i="8" s="1"/>
  <c r="Q9" i="2"/>
  <c r="B8" i="8"/>
  <c r="H8" i="8" s="1"/>
  <c r="I8" i="8" s="1"/>
  <c r="Q7" i="2"/>
  <c r="B6" i="8"/>
  <c r="H6" i="8" s="1"/>
  <c r="I6" i="8" s="1"/>
  <c r="Q28" i="2"/>
  <c r="B27" i="8"/>
  <c r="H27" i="8" s="1"/>
  <c r="I27" i="8" s="1"/>
  <c r="Q39" i="2"/>
  <c r="B38" i="8"/>
  <c r="H38" i="8" s="1"/>
  <c r="I38" i="8" s="1"/>
  <c r="Q8" i="2"/>
  <c r="B7" i="8"/>
  <c r="H7" i="8" s="1"/>
  <c r="I7" i="8" s="1"/>
  <c r="Q15" i="2"/>
  <c r="B14" i="8"/>
  <c r="H14" i="8" s="1"/>
  <c r="I14" i="8" s="1"/>
  <c r="Q12" i="2"/>
  <c r="B11" i="8"/>
  <c r="H11" i="8" s="1"/>
  <c r="I11" i="8" s="1"/>
  <c r="Q13" i="2"/>
  <c r="B12" i="8"/>
  <c r="H12" i="8" s="1"/>
  <c r="I12" i="8" s="1"/>
  <c r="P4" i="4"/>
  <c r="B3" i="9" s="1"/>
  <c r="H3" i="9" s="1"/>
  <c r="I3" i="9" s="1"/>
  <c r="O48" i="4"/>
  <c r="P4" i="2"/>
  <c r="B3" i="8" s="1"/>
  <c r="H3" i="8" s="1"/>
  <c r="I3" i="8" s="1"/>
  <c r="O48" i="2"/>
  <c r="N3" i="1"/>
  <c r="J4" i="6" l="1"/>
  <c r="Q4" i="4"/>
  <c r="P48" i="4"/>
  <c r="B56" i="4" s="1"/>
  <c r="P48" i="2"/>
  <c r="Q4" i="2"/>
  <c r="O48" i="1"/>
  <c r="P4" i="1"/>
  <c r="B3" i="6" s="1"/>
  <c r="I3" i="6" s="1"/>
  <c r="J3" i="6" s="1"/>
  <c r="B57" i="4" l="1"/>
  <c r="B58" i="4"/>
  <c r="Q48" i="4"/>
  <c r="Q48" i="2"/>
  <c r="B56" i="2"/>
  <c r="Q4" i="1"/>
  <c r="P48" i="1"/>
  <c r="B57" i="2" l="1"/>
  <c r="B58" i="2"/>
  <c r="Q48" i="1"/>
  <c r="B56" i="1"/>
  <c r="B57" i="1" l="1"/>
  <c r="B58" i="1"/>
</calcChain>
</file>

<file path=xl/sharedStrings.xml><?xml version="1.0" encoding="utf-8"?>
<sst xmlns="http://schemas.openxmlformats.org/spreadsheetml/2006/main" count="363" uniqueCount="92">
  <si>
    <t>Freshmen FTE</t>
  </si>
  <si>
    <t>Sophomore FTE</t>
  </si>
  <si>
    <t>Junior FTE</t>
  </si>
  <si>
    <t>Senior FTE</t>
  </si>
  <si>
    <t>Advanced Senior FTE</t>
  </si>
  <si>
    <t>FY 2020-21 Scenario</t>
  </si>
  <si>
    <t>FY 2019-20 Final Allocation</t>
  </si>
  <si>
    <t>Allocation with Guardrails</t>
  </si>
  <si>
    <t>Percent Change</t>
  </si>
  <si>
    <t>Public Four-Year Institutions</t>
  </si>
  <si>
    <t>Adams State University</t>
  </si>
  <si>
    <t>Colorado Mesa University</t>
  </si>
  <si>
    <t>Colorado School of Mines</t>
  </si>
  <si>
    <t>Colorado State University</t>
  </si>
  <si>
    <t>Colorado State University - Pueblo</t>
  </si>
  <si>
    <t>Fort Lewis College</t>
  </si>
  <si>
    <t>Metropolitan State University of Denver</t>
  </si>
  <si>
    <t>University of Colorado Boulder</t>
  </si>
  <si>
    <t>University of Colorado Colorado Springs</t>
  </si>
  <si>
    <t>University of Colorado Denver</t>
  </si>
  <si>
    <t>University of Northern Colorado</t>
  </si>
  <si>
    <t>Western State Colorado University</t>
  </si>
  <si>
    <t>Public Two-Year Institutions</t>
  </si>
  <si>
    <t>Arapahoe Community College</t>
  </si>
  <si>
    <t>Colorado Northwestern Community College</t>
  </si>
  <si>
    <t>Community College of Aurora</t>
  </si>
  <si>
    <t>Community College of Denver</t>
  </si>
  <si>
    <t>Front Range Community College</t>
  </si>
  <si>
    <t>Lamar Community College</t>
  </si>
  <si>
    <t>Morgan Community College</t>
  </si>
  <si>
    <t>Northeastern Junior College</t>
  </si>
  <si>
    <t>Otero Junior College</t>
  </si>
  <si>
    <t>Pikes Peak Community College</t>
  </si>
  <si>
    <t>Pueblo Community College</t>
  </si>
  <si>
    <t>Red Rocks Community College</t>
  </si>
  <si>
    <t>Trinidad State Junior College</t>
  </si>
  <si>
    <t>Local Districts</t>
  </si>
  <si>
    <t>Aims Community College</t>
  </si>
  <si>
    <t>Colorado Mountain College</t>
  </si>
  <si>
    <t>Non-Profit Private Institutions</t>
  </si>
  <si>
    <t>Colorado Christian University</t>
  </si>
  <si>
    <t>Colorado College</t>
  </si>
  <si>
    <t>Naropa University</t>
  </si>
  <si>
    <t>Regis University</t>
  </si>
  <si>
    <t>University of Denver</t>
  </si>
  <si>
    <t>Technical Colleges</t>
  </si>
  <si>
    <t>Technical College of the Rockies</t>
  </si>
  <si>
    <t>Emily Griffith Technical College</t>
  </si>
  <si>
    <t>Pickens Technical College</t>
  </si>
  <si>
    <t>Totals</t>
  </si>
  <si>
    <t>FY20-21</t>
  </si>
  <si>
    <t>Freshman</t>
  </si>
  <si>
    <t>Sophomore</t>
  </si>
  <si>
    <t>Junior</t>
  </si>
  <si>
    <t>Senior</t>
  </si>
  <si>
    <t>R1 @ 2%</t>
  </si>
  <si>
    <t>Over/Under-Allocated</t>
  </si>
  <si>
    <t>FY 19-20</t>
  </si>
  <si>
    <t>R1 @ flat</t>
  </si>
  <si>
    <t>Grad need @ flat</t>
  </si>
  <si>
    <t>private for profit @ flat</t>
  </si>
  <si>
    <t>Grad need @ -5%</t>
  </si>
  <si>
    <t>UG Need</t>
  </si>
  <si>
    <t>Grad Need</t>
  </si>
  <si>
    <t>Work-Study</t>
  </si>
  <si>
    <t>Merit</t>
  </si>
  <si>
    <t>CTE</t>
  </si>
  <si>
    <t>Techical College of the Rockies</t>
  </si>
  <si>
    <t>Private For Profit Institutions</t>
  </si>
  <si>
    <t>Colorado Technical Univ</t>
  </si>
  <si>
    <t>ConCorde Career Inst</t>
  </si>
  <si>
    <t>International Bty</t>
  </si>
  <si>
    <t>IBMC</t>
  </si>
  <si>
    <t>Rocky Mtn Col A&amp;D</t>
  </si>
  <si>
    <t>Guardrail (-3%, +5%)</t>
  </si>
  <si>
    <t>R1 @ -5%</t>
  </si>
  <si>
    <t>Guardrail (-2%, +7%)</t>
  </si>
  <si>
    <t>Guardrail (-4%, +4%)</t>
  </si>
  <si>
    <t>FY 20 Total</t>
  </si>
  <si>
    <t>FY 21 Total</t>
  </si>
  <si>
    <t>Grad need @2% increase</t>
  </si>
  <si>
    <t>private for profit @ 2% increase</t>
  </si>
  <si>
    <t>UG Need-based aid allocaiton amount</t>
  </si>
  <si>
    <t>Grad Need-based aid allocation amount</t>
  </si>
  <si>
    <t>Work-Study allocation amount</t>
  </si>
  <si>
    <t>Merit allocation amount</t>
  </si>
  <si>
    <t>CTE allocation amount</t>
  </si>
  <si>
    <t>Freshman Amt $2,020, Increment $340</t>
  </si>
  <si>
    <t>Freshman Amt $2,115, Increment $359</t>
  </si>
  <si>
    <t>Freshman Amt $1,930, Increment $340</t>
  </si>
  <si>
    <t>% Change</t>
  </si>
  <si>
    <t>Percent Change 
(with Guardrails)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</si>
</sst>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%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/>
    <xf numFmtId="0" fontId="2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6" fontId="0" fillId="0" borderId="0" xfId="0" applyNumberFormat="1"/>
    <xf numFmtId="164" fontId="2" fillId="0" borderId="0" xfId="0" applyNumberFormat="1" applyFont="1"/>
    <xf numFmtId="0" fontId="3" fillId="0" borderId="1" xfId="0" applyFont="1" applyBorder="1"/>
    <xf numFmtId="165" fontId="0" fillId="0" borderId="0" xfId="0" applyNumberFormat="1"/>
    <xf numFmtId="166" fontId="0" fillId="0" borderId="0" xfId="0" applyNumberFormat="1"/>
    <xf numFmtId="1" fontId="2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10" fontId="4" fillId="0" borderId="0" xfId="0" applyNumberFormat="1" applyFont="1"/>
    <xf numFmtId="164" fontId="5" fillId="0" borderId="0" xfId="0" applyNumberFormat="1" applyFont="1"/>
    <xf numFmtId="9" fontId="0" fillId="0" borderId="0" xfId="3" applyFont="1"/>
    <xf numFmtId="164" fontId="0" fillId="0" borderId="0" xfId="2" applyNumberFormat="1" applyFont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/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164" fontId="7" fillId="0" borderId="2" xfId="2" applyNumberFormat="1" applyFont="1" applyBorder="1"/>
    <xf numFmtId="164" fontId="0" fillId="0" borderId="2" xfId="2" applyNumberFormat="1" applyFont="1" applyBorder="1"/>
    <xf numFmtId="164" fontId="0" fillId="0" borderId="2" xfId="0" applyNumberFormat="1" applyBorder="1"/>
    <xf numFmtId="0" fontId="3" fillId="0" borderId="2" xfId="0" applyFont="1" applyBorder="1" applyAlignment="1">
      <alignment horizontal="left" indent="1"/>
    </xf>
    <xf numFmtId="0" fontId="7" fillId="0" borderId="2" xfId="4" applyFont="1" applyBorder="1"/>
    <xf numFmtId="164" fontId="1" fillId="0" borderId="2" xfId="5" applyNumberFormat="1" applyBorder="1" applyAlignment="1">
      <alignment horizontal="right"/>
    </xf>
    <xf numFmtId="164" fontId="1" fillId="0" borderId="2" xfId="5" applyNumberFormat="1" applyBorder="1"/>
    <xf numFmtId="164" fontId="1" fillId="0" borderId="2" xfId="6" applyNumberFormat="1" applyBorder="1" applyAlignment="1">
      <alignment horizontal="right"/>
    </xf>
    <xf numFmtId="10" fontId="0" fillId="0" borderId="0" xfId="3" applyNumberFormat="1" applyFont="1"/>
    <xf numFmtId="164" fontId="0" fillId="0" borderId="0" xfId="0" applyNumberFormat="1" applyBorder="1"/>
    <xf numFmtId="164" fontId="10" fillId="0" borderId="0" xfId="5" applyNumberFormat="1" applyFont="1" applyBorder="1" applyAlignment="1">
      <alignment horizontal="right"/>
    </xf>
    <xf numFmtId="10" fontId="0" fillId="0" borderId="2" xfId="3" applyNumberFormat="1" applyFont="1" applyBorder="1"/>
    <xf numFmtId="0" fontId="7" fillId="0" borderId="0" xfId="4" applyFont="1" applyFill="1" applyBorder="1"/>
    <xf numFmtId="0" fontId="3" fillId="0" borderId="2" xfId="0" applyFont="1" applyBorder="1" applyAlignment="1">
      <alignment wrapText="1"/>
    </xf>
    <xf numFmtId="164" fontId="4" fillId="0" borderId="0" xfId="2" applyNumberFormat="1" applyFont="1"/>
    <xf numFmtId="0" fontId="3" fillId="0" borderId="0" xfId="0" applyFont="1"/>
    <xf numFmtId="168" fontId="0" fillId="0" borderId="0" xfId="1" applyNumberFormat="1" applyFont="1"/>
    <xf numFmtId="164" fontId="0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168" fontId="4" fillId="0" borderId="0" xfId="1" applyNumberFormat="1" applyFont="1"/>
    <xf numFmtId="0" fontId="0" fillId="0" borderId="0" xfId="0" applyFont="1" applyAlignment="1">
      <alignment horizontal="left" indent="1"/>
    </xf>
    <xf numFmtId="167" fontId="0" fillId="0" borderId="2" xfId="3" applyNumberFormat="1" applyFont="1" applyBorder="1"/>
    <xf numFmtId="0" fontId="7" fillId="0" borderId="3" xfId="4" applyFont="1" applyBorder="1"/>
    <xf numFmtId="0" fontId="7" fillId="0" borderId="2" xfId="4" applyFont="1" applyBorder="1" applyAlignment="1">
      <alignment horizontal="left" indent="1"/>
    </xf>
    <xf numFmtId="0" fontId="7" fillId="0" borderId="0" xfId="4" applyFont="1" applyFill="1" applyBorder="1" applyAlignment="1">
      <alignment horizontal="left" indent="1"/>
    </xf>
    <xf numFmtId="0" fontId="3" fillId="0" borderId="2" xfId="0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3" xfId="5" applyNumberFormat="1" applyBorder="1" applyAlignment="1">
      <alignment horizontal="right"/>
    </xf>
    <xf numFmtId="164" fontId="1" fillId="0" borderId="3" xfId="6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9" fillId="0" borderId="0" xfId="4" applyFont="1" applyBorder="1"/>
    <xf numFmtId="164" fontId="10" fillId="0" borderId="0" xfId="5" applyNumberFormat="1" applyFont="1" applyBorder="1"/>
    <xf numFmtId="164" fontId="10" fillId="0" borderId="0" xfId="6" applyNumberFormat="1" applyFont="1" applyBorder="1" applyAlignment="1">
      <alignment horizontal="right"/>
    </xf>
    <xf numFmtId="164" fontId="1" fillId="0" borderId="3" xfId="5" applyNumberForma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164" fontId="7" fillId="0" borderId="2" xfId="2" applyNumberFormat="1" applyFont="1" applyFill="1" applyBorder="1"/>
    <xf numFmtId="164" fontId="0" fillId="0" borderId="2" xfId="2" applyNumberFormat="1" applyFont="1" applyFill="1" applyBorder="1"/>
    <xf numFmtId="164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/>
    <xf numFmtId="167" fontId="0" fillId="0" borderId="2" xfId="3" applyNumberFormat="1" applyFont="1" applyFill="1" applyBorder="1"/>
    <xf numFmtId="0" fontId="0" fillId="0" borderId="0" xfId="0" applyFill="1"/>
    <xf numFmtId="10" fontId="0" fillId="0" borderId="2" xfId="3" applyNumberFormat="1" applyFont="1" applyFill="1" applyBorder="1"/>
  </cellXfs>
  <cellStyles count="7">
    <cellStyle name="Comma" xfId="1" builtinId="3"/>
    <cellStyle name="Comma 4" xfId="6" xr:uid="{A2DB24C1-3F1A-4CF0-AC6F-E8ECCCF29D50}"/>
    <cellStyle name="Currency" xfId="2" builtinId="4"/>
    <cellStyle name="Normal" xfId="0" builtinId="0"/>
    <cellStyle name="Normal 2" xfId="4" xr:uid="{9C7ED1E5-08B1-4A9D-BEA9-E1403319AC03}"/>
    <cellStyle name="Normal 8" xfId="5" xr:uid="{CC0F96BB-6176-4E02-8221-46EB3DC5452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07_FA_Grads_GradGrant_2019_V2_ekb&amp;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+2%"/>
      <sheetName val="flat"/>
      <sheetName val="-5%"/>
      <sheetName val="Data"/>
      <sheetName val="CIPCODE"/>
    </sheetNames>
    <sheetDataSet>
      <sheetData sheetId="0" refreshError="1"/>
      <sheetData sheetId="1">
        <row r="26">
          <cell r="F26">
            <v>8500</v>
          </cell>
        </row>
        <row r="27">
          <cell r="F27">
            <v>9037.3888888888887</v>
          </cell>
        </row>
        <row r="28">
          <cell r="F28">
            <v>247745.9939854384</v>
          </cell>
        </row>
        <row r="29">
          <cell r="F29">
            <v>60525.447124756342</v>
          </cell>
        </row>
        <row r="30">
          <cell r="F30">
            <v>16282.123842592591</v>
          </cell>
        </row>
        <row r="31">
          <cell r="F31">
            <v>81852.4765625</v>
          </cell>
        </row>
        <row r="32">
          <cell r="F32">
            <v>373676.21296296298</v>
          </cell>
        </row>
        <row r="33">
          <cell r="F33">
            <v>728762.92796723242</v>
          </cell>
        </row>
        <row r="34">
          <cell r="F34">
            <v>1461849.5616104223</v>
          </cell>
        </row>
        <row r="35">
          <cell r="F35">
            <v>557203.25033258821</v>
          </cell>
        </row>
        <row r="36">
          <cell r="F36">
            <v>239248.75284659659</v>
          </cell>
        </row>
        <row r="37">
          <cell r="F37">
            <v>1442689.8222039773</v>
          </cell>
        </row>
        <row r="38">
          <cell r="F38">
            <v>6570424.4330149554</v>
          </cell>
        </row>
        <row r="39">
          <cell r="F39">
            <v>65952.680555555562</v>
          </cell>
        </row>
        <row r="40">
          <cell r="F40">
            <v>11863751.071898468</v>
          </cell>
        </row>
      </sheetData>
      <sheetData sheetId="2">
        <row r="26">
          <cell r="F26">
            <v>8300</v>
          </cell>
        </row>
        <row r="27">
          <cell r="F27">
            <v>8824.7444444444445</v>
          </cell>
        </row>
        <row r="28">
          <cell r="F28">
            <v>241916.67647989868</v>
          </cell>
        </row>
        <row r="29">
          <cell r="F29">
            <v>59101.318957115014</v>
          </cell>
        </row>
        <row r="30">
          <cell r="F30">
            <v>15899.015046296296</v>
          </cell>
        </row>
        <row r="31">
          <cell r="F31">
            <v>79926.535937499997</v>
          </cell>
        </row>
        <row r="32">
          <cell r="F32">
            <v>364883.83148148155</v>
          </cell>
        </row>
        <row r="33">
          <cell r="F33">
            <v>711615.56495623861</v>
          </cell>
        </row>
        <row r="34">
          <cell r="F34">
            <v>1427453.1013372359</v>
          </cell>
        </row>
        <row r="35">
          <cell r="F35">
            <v>544092.58561888034</v>
          </cell>
        </row>
        <row r="36">
          <cell r="F36">
            <v>233619.37042667667</v>
          </cell>
        </row>
        <row r="37">
          <cell r="F37">
            <v>1408744.1793285895</v>
          </cell>
        </row>
        <row r="38">
          <cell r="F38">
            <v>6415826.211061663</v>
          </cell>
        </row>
        <row r="39">
          <cell r="F39">
            <v>64400.852777777785</v>
          </cell>
        </row>
      </sheetData>
      <sheetData sheetId="3">
        <row r="27">
          <cell r="F27">
            <v>8420.7200000000012</v>
          </cell>
        </row>
        <row r="28">
          <cell r="F28">
            <v>230840.97321937321</v>
          </cell>
        </row>
        <row r="29">
          <cell r="F29">
            <v>56395.475438596484</v>
          </cell>
        </row>
        <row r="30">
          <cell r="F30">
            <v>15171.108333333335</v>
          </cell>
        </row>
        <row r="31">
          <cell r="F31">
            <v>76267.248749999999</v>
          </cell>
        </row>
        <row r="32">
          <cell r="F32">
            <v>348178.3066666667</v>
          </cell>
        </row>
        <row r="33">
          <cell r="F33">
            <v>679035.57523535052</v>
          </cell>
        </row>
        <row r="34">
          <cell r="F34">
            <v>1362099.8268181819</v>
          </cell>
        </row>
        <row r="35">
          <cell r="F35">
            <v>519182.32266283524</v>
          </cell>
        </row>
        <row r="36">
          <cell r="F36">
            <v>222923.54382882884</v>
          </cell>
        </row>
        <row r="37">
          <cell r="F37">
            <v>1344247.457865353</v>
          </cell>
        </row>
        <row r="38">
          <cell r="F38">
            <v>6122089.5893504061</v>
          </cell>
        </row>
        <row r="39">
          <cell r="F39">
            <v>61452.38</v>
          </cell>
        </row>
        <row r="40">
          <cell r="F40">
            <v>11054224.528168926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6773-4DC5-461A-A896-4A948ADDED67}">
  <dimension ref="A1:Q61"/>
  <sheetViews>
    <sheetView view="pageBreakPreview" topLeftCell="A13" zoomScale="60" zoomScaleNormal="80" workbookViewId="0">
      <selection activeCell="L2" sqref="L2"/>
    </sheetView>
  </sheetViews>
  <sheetFormatPr defaultRowHeight="15" x14ac:dyDescent="0.25"/>
  <cols>
    <col min="1" max="1" width="39.42578125" customWidth="1"/>
    <col min="2" max="2" width="14.7109375" hidden="1" customWidth="1"/>
    <col min="3" max="3" width="15.7109375" hidden="1" customWidth="1"/>
    <col min="4" max="4" width="11.5703125" hidden="1" customWidth="1"/>
    <col min="5" max="5" width="15.5703125" hidden="1" customWidth="1"/>
    <col min="6" max="6" width="9.140625" hidden="1" customWidth="1"/>
    <col min="7" max="7" width="15.7109375" hidden="1" customWidth="1"/>
    <col min="8" max="8" width="9.140625" hidden="1" customWidth="1"/>
    <col min="9" max="9" width="15.7109375" hidden="1" customWidth="1"/>
    <col min="10" max="10" width="16" hidden="1" customWidth="1"/>
    <col min="11" max="11" width="16.42578125" hidden="1" customWidth="1"/>
    <col min="12" max="15" width="18.42578125" customWidth="1"/>
    <col min="16" max="16" width="18.42578125" style="4" customWidth="1"/>
    <col min="17" max="17" width="18.42578125" customWidth="1"/>
  </cols>
  <sheetData>
    <row r="1" spans="1:17" x14ac:dyDescent="0.25">
      <c r="A1" t="s">
        <v>88</v>
      </c>
    </row>
    <row r="2" spans="1:17" ht="30" x14ac:dyDescent="0.25">
      <c r="A2" s="1"/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6</v>
      </c>
      <c r="M2" s="1" t="s">
        <v>5</v>
      </c>
      <c r="N2" s="1" t="s">
        <v>8</v>
      </c>
      <c r="O2" s="1" t="s">
        <v>76</v>
      </c>
      <c r="P2" s="2" t="s">
        <v>7</v>
      </c>
      <c r="Q2" s="1" t="s">
        <v>91</v>
      </c>
    </row>
    <row r="3" spans="1:17" x14ac:dyDescent="0.25">
      <c r="A3" s="43" t="s">
        <v>9</v>
      </c>
      <c r="N3" s="3">
        <f>AVERAGE(N4:N15)</f>
        <v>4.1753256835681762E-2</v>
      </c>
      <c r="O3" s="6"/>
    </row>
    <row r="4" spans="1:17" x14ac:dyDescent="0.25">
      <c r="A4" s="5" t="s">
        <v>10</v>
      </c>
      <c r="B4">
        <v>207.5</v>
      </c>
      <c r="C4" s="6">
        <f>B4*$B$52</f>
        <v>438862.5</v>
      </c>
      <c r="D4">
        <v>147</v>
      </c>
      <c r="E4" s="6">
        <f t="shared" ref="E4:E15" si="0">D4*$C$52</f>
        <v>363678</v>
      </c>
      <c r="F4">
        <v>125.5</v>
      </c>
      <c r="G4" s="6">
        <f t="shared" ref="G4:G15" si="1">F4*$D$52</f>
        <v>355541.5</v>
      </c>
      <c r="H4">
        <v>259.5</v>
      </c>
      <c r="I4" s="6">
        <f t="shared" ref="I4:I15" si="2">H4*$E$52</f>
        <v>828324</v>
      </c>
      <c r="J4">
        <v>4</v>
      </c>
      <c r="K4" s="6">
        <f t="shared" ref="K4:K29" si="3">J4*$B$52</f>
        <v>8460</v>
      </c>
      <c r="L4" s="9">
        <v>2259818</v>
      </c>
      <c r="M4" s="6">
        <f t="shared" ref="M4:M15" si="4">SUM(K4+I4+G4+E4+C4)</f>
        <v>1994866</v>
      </c>
      <c r="N4" s="3">
        <f t="shared" ref="N4:N15" si="5">(M4-L4)/L4</f>
        <v>-0.11724484007119157</v>
      </c>
      <c r="O4" s="6">
        <f t="shared" ref="O4:O15" si="6">IF(N4&lt;-0.02,L4*0.98,IF(N4&gt;0.07,L4*1.07,M4))</f>
        <v>2214621.64</v>
      </c>
      <c r="P4" s="10">
        <f t="shared" ref="P4:P15" si="7">IF(O4=FALSE,M4,O4)</f>
        <v>2214621.64</v>
      </c>
      <c r="Q4" s="3">
        <f t="shared" ref="Q4:Q15" si="8">(P4-L4)/L4</f>
        <v>-1.9999999999999941E-2</v>
      </c>
    </row>
    <row r="5" spans="1:17" x14ac:dyDescent="0.25">
      <c r="A5" s="5" t="s">
        <v>11</v>
      </c>
      <c r="B5">
        <v>588</v>
      </c>
      <c r="C5" s="6">
        <f t="shared" ref="C5:C30" si="9">B5*$B$52</f>
        <v>1243620</v>
      </c>
      <c r="D5">
        <v>750.5</v>
      </c>
      <c r="E5" s="6">
        <f t="shared" si="0"/>
        <v>1856737</v>
      </c>
      <c r="F5">
        <v>574</v>
      </c>
      <c r="G5" s="6">
        <f t="shared" si="1"/>
        <v>1626142</v>
      </c>
      <c r="H5">
        <v>1142</v>
      </c>
      <c r="I5" s="6">
        <f t="shared" si="2"/>
        <v>3645264</v>
      </c>
      <c r="J5">
        <v>15</v>
      </c>
      <c r="K5" s="6">
        <f t="shared" si="3"/>
        <v>31725</v>
      </c>
      <c r="L5" s="9">
        <v>8358127</v>
      </c>
      <c r="M5" s="6">
        <f t="shared" si="4"/>
        <v>8403488</v>
      </c>
      <c r="N5" s="3">
        <f t="shared" si="5"/>
        <v>5.4271728582252939E-3</v>
      </c>
      <c r="O5" s="6">
        <f t="shared" si="6"/>
        <v>8403488</v>
      </c>
      <c r="P5" s="10">
        <f t="shared" si="7"/>
        <v>8403488</v>
      </c>
      <c r="Q5" s="3">
        <f t="shared" si="8"/>
        <v>5.4271728582252939E-3</v>
      </c>
    </row>
    <row r="6" spans="1:17" x14ac:dyDescent="0.25">
      <c r="A6" s="5" t="s">
        <v>12</v>
      </c>
      <c r="B6">
        <v>98.5</v>
      </c>
      <c r="C6" s="6">
        <f t="shared" si="9"/>
        <v>208327.5</v>
      </c>
      <c r="D6">
        <v>163.5</v>
      </c>
      <c r="E6" s="6">
        <f t="shared" si="0"/>
        <v>404499</v>
      </c>
      <c r="F6">
        <v>132.5</v>
      </c>
      <c r="G6" s="6">
        <f t="shared" si="1"/>
        <v>375372.5</v>
      </c>
      <c r="H6">
        <v>235</v>
      </c>
      <c r="I6" s="6">
        <f t="shared" si="2"/>
        <v>750120</v>
      </c>
      <c r="J6">
        <v>3.5</v>
      </c>
      <c r="K6" s="6">
        <f t="shared" si="3"/>
        <v>7402.5</v>
      </c>
      <c r="L6" s="9">
        <v>1618343</v>
      </c>
      <c r="M6" s="6">
        <f t="shared" si="4"/>
        <v>1745721.5</v>
      </c>
      <c r="N6" s="3">
        <f t="shared" si="5"/>
        <v>7.870921059379872E-2</v>
      </c>
      <c r="O6" s="6">
        <f t="shared" si="6"/>
        <v>1731627.01</v>
      </c>
      <c r="P6" s="10">
        <f t="shared" si="7"/>
        <v>1731627.01</v>
      </c>
      <c r="Q6" s="3">
        <f t="shared" si="8"/>
        <v>7.0000000000000007E-2</v>
      </c>
    </row>
    <row r="7" spans="1:17" x14ac:dyDescent="0.25">
      <c r="A7" s="5" t="s">
        <v>13</v>
      </c>
      <c r="B7">
        <v>1176.5</v>
      </c>
      <c r="C7" s="6">
        <f t="shared" si="9"/>
        <v>2488297.5</v>
      </c>
      <c r="D7">
        <v>1007.5</v>
      </c>
      <c r="E7" s="6">
        <f t="shared" si="0"/>
        <v>2492555</v>
      </c>
      <c r="F7">
        <v>1240.5</v>
      </c>
      <c r="G7" s="6">
        <f t="shared" si="1"/>
        <v>3514336.5</v>
      </c>
      <c r="H7">
        <v>1669</v>
      </c>
      <c r="I7" s="6">
        <f t="shared" si="2"/>
        <v>5327448</v>
      </c>
      <c r="J7">
        <v>11.5</v>
      </c>
      <c r="K7" s="6">
        <f t="shared" si="3"/>
        <v>24322.5</v>
      </c>
      <c r="L7" s="9">
        <v>13125938</v>
      </c>
      <c r="M7" s="6">
        <f t="shared" si="4"/>
        <v>13846959.5</v>
      </c>
      <c r="N7" s="3">
        <f t="shared" si="5"/>
        <v>5.4931045689839461E-2</v>
      </c>
      <c r="O7" s="6">
        <f t="shared" si="6"/>
        <v>13846959.5</v>
      </c>
      <c r="P7" s="10">
        <f t="shared" si="7"/>
        <v>13846959.5</v>
      </c>
      <c r="Q7" s="3">
        <f t="shared" si="8"/>
        <v>5.4931045689839461E-2</v>
      </c>
    </row>
    <row r="8" spans="1:17" x14ac:dyDescent="0.25">
      <c r="A8" s="5" t="s">
        <v>14</v>
      </c>
      <c r="B8">
        <v>298.5</v>
      </c>
      <c r="C8" s="6">
        <f t="shared" si="9"/>
        <v>631327.5</v>
      </c>
      <c r="D8">
        <v>278.5</v>
      </c>
      <c r="E8" s="6">
        <f t="shared" si="0"/>
        <v>689009</v>
      </c>
      <c r="F8">
        <v>355</v>
      </c>
      <c r="G8" s="6">
        <f t="shared" si="1"/>
        <v>1005715</v>
      </c>
      <c r="H8">
        <v>676</v>
      </c>
      <c r="I8" s="6">
        <f t="shared" si="2"/>
        <v>2157792</v>
      </c>
      <c r="J8">
        <v>11</v>
      </c>
      <c r="K8" s="6">
        <f t="shared" si="3"/>
        <v>23265</v>
      </c>
      <c r="L8" s="9">
        <v>4579037</v>
      </c>
      <c r="M8" s="6">
        <f t="shared" si="4"/>
        <v>4507108.5</v>
      </c>
      <c r="N8" s="3">
        <f t="shared" si="5"/>
        <v>-1.5708215504701098E-2</v>
      </c>
      <c r="O8" s="6">
        <f t="shared" si="6"/>
        <v>4507108.5</v>
      </c>
      <c r="P8" s="10">
        <f t="shared" si="7"/>
        <v>4507108.5</v>
      </c>
      <c r="Q8" s="3">
        <f t="shared" si="8"/>
        <v>-1.5708215504701098E-2</v>
      </c>
    </row>
    <row r="9" spans="1:17" x14ac:dyDescent="0.25">
      <c r="A9" s="5" t="s">
        <v>15</v>
      </c>
      <c r="B9">
        <v>64.5</v>
      </c>
      <c r="C9" s="6">
        <f t="shared" si="9"/>
        <v>136417.5</v>
      </c>
      <c r="D9">
        <v>112</v>
      </c>
      <c r="E9" s="6">
        <f t="shared" si="0"/>
        <v>277088</v>
      </c>
      <c r="F9">
        <v>110.5</v>
      </c>
      <c r="G9" s="6">
        <f t="shared" si="1"/>
        <v>313046.5</v>
      </c>
      <c r="H9">
        <v>210</v>
      </c>
      <c r="I9" s="6">
        <f t="shared" si="2"/>
        <v>670320</v>
      </c>
      <c r="J9">
        <v>2</v>
      </c>
      <c r="K9" s="6">
        <f t="shared" si="3"/>
        <v>4230</v>
      </c>
      <c r="L9" s="9">
        <v>1497559</v>
      </c>
      <c r="M9" s="6">
        <f t="shared" si="4"/>
        <v>1401102</v>
      </c>
      <c r="N9" s="3">
        <f t="shared" si="5"/>
        <v>-6.4409482364300844E-2</v>
      </c>
      <c r="O9" s="6">
        <f t="shared" si="6"/>
        <v>1467607.82</v>
      </c>
      <c r="P9" s="10">
        <f t="shared" si="7"/>
        <v>1467607.82</v>
      </c>
      <c r="Q9" s="3">
        <f t="shared" si="8"/>
        <v>-1.9999999999999955E-2</v>
      </c>
    </row>
    <row r="10" spans="1:17" x14ac:dyDescent="0.25">
      <c r="A10" s="5" t="s">
        <v>16</v>
      </c>
      <c r="B10">
        <v>1454</v>
      </c>
      <c r="C10" s="6">
        <f t="shared" si="9"/>
        <v>3075210</v>
      </c>
      <c r="D10">
        <v>1385</v>
      </c>
      <c r="E10" s="6">
        <f t="shared" si="0"/>
        <v>3426490</v>
      </c>
      <c r="F10">
        <v>1627.5</v>
      </c>
      <c r="G10" s="6">
        <f t="shared" si="1"/>
        <v>4610707.5</v>
      </c>
      <c r="H10">
        <v>3397</v>
      </c>
      <c r="I10" s="6">
        <f t="shared" si="2"/>
        <v>10843224</v>
      </c>
      <c r="J10">
        <v>15.5</v>
      </c>
      <c r="K10" s="6">
        <f t="shared" si="3"/>
        <v>32782.5</v>
      </c>
      <c r="L10" s="9">
        <v>20913437</v>
      </c>
      <c r="M10" s="6">
        <f t="shared" si="4"/>
        <v>21988414</v>
      </c>
      <c r="N10" s="3">
        <f t="shared" si="5"/>
        <v>5.1401259391270791E-2</v>
      </c>
      <c r="O10" s="6">
        <f t="shared" si="6"/>
        <v>21988414</v>
      </c>
      <c r="P10" s="10">
        <f t="shared" si="7"/>
        <v>21988414</v>
      </c>
      <c r="Q10" s="3">
        <f t="shared" si="8"/>
        <v>5.1401259391270791E-2</v>
      </c>
    </row>
    <row r="11" spans="1:17" x14ac:dyDescent="0.25">
      <c r="A11" s="5" t="s">
        <v>17</v>
      </c>
      <c r="B11">
        <v>583.5</v>
      </c>
      <c r="C11" s="6">
        <f t="shared" si="9"/>
        <v>1234102.5</v>
      </c>
      <c r="D11">
        <v>766</v>
      </c>
      <c r="E11" s="6">
        <f t="shared" si="0"/>
        <v>1895084</v>
      </c>
      <c r="F11">
        <v>896.5</v>
      </c>
      <c r="G11" s="6">
        <f t="shared" si="1"/>
        <v>2539784.5</v>
      </c>
      <c r="H11">
        <v>1955.5</v>
      </c>
      <c r="I11" s="6">
        <f t="shared" si="2"/>
        <v>6241956</v>
      </c>
      <c r="J11">
        <v>31</v>
      </c>
      <c r="K11" s="6">
        <f t="shared" si="3"/>
        <v>65565</v>
      </c>
      <c r="L11" s="9">
        <v>10546316</v>
      </c>
      <c r="M11" s="6">
        <f t="shared" si="4"/>
        <v>11976492</v>
      </c>
      <c r="N11" s="3">
        <f t="shared" si="5"/>
        <v>0.13560906007367882</v>
      </c>
      <c r="O11" s="6">
        <f t="shared" si="6"/>
        <v>11284558.120000001</v>
      </c>
      <c r="P11" s="10">
        <f t="shared" si="7"/>
        <v>11284558.120000001</v>
      </c>
      <c r="Q11" s="3">
        <f t="shared" si="8"/>
        <v>7.0000000000000104E-2</v>
      </c>
    </row>
    <row r="12" spans="1:17" x14ac:dyDescent="0.25">
      <c r="A12" s="5" t="s">
        <v>18</v>
      </c>
      <c r="B12">
        <v>587.5</v>
      </c>
      <c r="C12" s="6">
        <f t="shared" si="9"/>
        <v>1242562.5</v>
      </c>
      <c r="D12">
        <v>622</v>
      </c>
      <c r="E12" s="6">
        <f t="shared" si="0"/>
        <v>1538828</v>
      </c>
      <c r="F12">
        <v>675</v>
      </c>
      <c r="G12" s="6">
        <f t="shared" si="1"/>
        <v>1912275</v>
      </c>
      <c r="H12">
        <v>1517</v>
      </c>
      <c r="I12" s="6">
        <f t="shared" si="2"/>
        <v>4842264</v>
      </c>
      <c r="J12">
        <v>45</v>
      </c>
      <c r="K12" s="6">
        <f t="shared" si="3"/>
        <v>95175</v>
      </c>
      <c r="L12" s="9">
        <v>8941951</v>
      </c>
      <c r="M12" s="6">
        <f t="shared" si="4"/>
        <v>9631104.5</v>
      </c>
      <c r="N12" s="3">
        <f t="shared" si="5"/>
        <v>7.7069702126526973E-2</v>
      </c>
      <c r="O12" s="6">
        <f t="shared" si="6"/>
        <v>9567887.5700000003</v>
      </c>
      <c r="P12" s="10">
        <f t="shared" si="7"/>
        <v>9567887.5700000003</v>
      </c>
      <c r="Q12" s="3">
        <f t="shared" si="8"/>
        <v>7.0000000000000034E-2</v>
      </c>
    </row>
    <row r="13" spans="1:17" x14ac:dyDescent="0.25">
      <c r="A13" s="5" t="s">
        <v>19</v>
      </c>
      <c r="B13">
        <v>613.5</v>
      </c>
      <c r="C13" s="6">
        <f t="shared" si="9"/>
        <v>1297552.5</v>
      </c>
      <c r="D13">
        <v>755</v>
      </c>
      <c r="E13" s="6">
        <f t="shared" si="0"/>
        <v>1867870</v>
      </c>
      <c r="F13">
        <v>1062</v>
      </c>
      <c r="G13" s="6">
        <f t="shared" si="1"/>
        <v>3008646</v>
      </c>
      <c r="H13">
        <v>2028.5</v>
      </c>
      <c r="I13" s="6">
        <f t="shared" si="2"/>
        <v>6474972</v>
      </c>
      <c r="J13">
        <v>20</v>
      </c>
      <c r="K13" s="6">
        <f t="shared" si="3"/>
        <v>42300</v>
      </c>
      <c r="L13" s="9">
        <v>11286802</v>
      </c>
      <c r="M13" s="6">
        <f t="shared" si="4"/>
        <v>12691340.5</v>
      </c>
      <c r="N13" s="3">
        <f t="shared" si="5"/>
        <v>0.12444078490966706</v>
      </c>
      <c r="O13" s="6">
        <f t="shared" si="6"/>
        <v>12076878.140000001</v>
      </c>
      <c r="P13" s="10">
        <f t="shared" si="7"/>
        <v>12076878.140000001</v>
      </c>
      <c r="Q13" s="3">
        <f t="shared" si="8"/>
        <v>7.0000000000000048E-2</v>
      </c>
    </row>
    <row r="14" spans="1:17" x14ac:dyDescent="0.25">
      <c r="A14" s="5" t="s">
        <v>20</v>
      </c>
      <c r="B14">
        <v>647</v>
      </c>
      <c r="C14" s="6">
        <f t="shared" si="9"/>
        <v>1368405</v>
      </c>
      <c r="D14">
        <v>572.5</v>
      </c>
      <c r="E14" s="6">
        <f t="shared" si="0"/>
        <v>1416365</v>
      </c>
      <c r="F14">
        <v>634.5</v>
      </c>
      <c r="G14" s="6">
        <f t="shared" si="1"/>
        <v>1797538.5</v>
      </c>
      <c r="H14">
        <v>1288.5</v>
      </c>
      <c r="I14" s="6">
        <f t="shared" si="2"/>
        <v>4112892</v>
      </c>
      <c r="J14">
        <v>10</v>
      </c>
      <c r="K14" s="6">
        <f t="shared" si="3"/>
        <v>21150</v>
      </c>
      <c r="L14" s="9">
        <v>7280013</v>
      </c>
      <c r="M14" s="6">
        <f t="shared" si="4"/>
        <v>8716350.5</v>
      </c>
      <c r="N14" s="3">
        <f t="shared" si="5"/>
        <v>0.19729875482365211</v>
      </c>
      <c r="O14" s="6">
        <f t="shared" si="6"/>
        <v>7789613.9100000001</v>
      </c>
      <c r="P14" s="10">
        <f t="shared" si="7"/>
        <v>7789613.9100000001</v>
      </c>
      <c r="Q14" s="3">
        <f t="shared" si="8"/>
        <v>7.0000000000000021E-2</v>
      </c>
    </row>
    <row r="15" spans="1:17" x14ac:dyDescent="0.25">
      <c r="A15" s="5" t="s">
        <v>21</v>
      </c>
      <c r="B15">
        <v>71.5</v>
      </c>
      <c r="C15" s="6">
        <f t="shared" si="9"/>
        <v>151222.5</v>
      </c>
      <c r="D15">
        <v>98</v>
      </c>
      <c r="E15" s="6">
        <f t="shared" si="0"/>
        <v>242452</v>
      </c>
      <c r="F15">
        <v>92.5</v>
      </c>
      <c r="G15" s="6">
        <f t="shared" si="1"/>
        <v>262052.5</v>
      </c>
      <c r="H15">
        <v>193.5</v>
      </c>
      <c r="I15" s="6">
        <f t="shared" si="2"/>
        <v>617652</v>
      </c>
      <c r="J15">
        <v>1</v>
      </c>
      <c r="K15" s="6">
        <f t="shared" si="3"/>
        <v>2115</v>
      </c>
      <c r="L15" s="9">
        <v>1310195</v>
      </c>
      <c r="M15" s="6">
        <f t="shared" si="4"/>
        <v>1275494</v>
      </c>
      <c r="N15" s="3">
        <f t="shared" si="5"/>
        <v>-2.6485370498284606E-2</v>
      </c>
      <c r="O15" s="6">
        <f t="shared" si="6"/>
        <v>1283991.1000000001</v>
      </c>
      <c r="P15" s="10">
        <f t="shared" si="7"/>
        <v>1283991.1000000001</v>
      </c>
      <c r="Q15" s="3">
        <f t="shared" si="8"/>
        <v>-1.9999999999999928E-2</v>
      </c>
    </row>
    <row r="16" spans="1:17" x14ac:dyDescent="0.25">
      <c r="B16" s="8"/>
      <c r="C16" s="6"/>
      <c r="E16" s="6"/>
      <c r="F16" s="8"/>
      <c r="G16" s="6"/>
      <c r="H16" s="8"/>
      <c r="I16" s="6"/>
      <c r="J16" s="8"/>
      <c r="K16" s="6"/>
      <c r="M16" s="6"/>
      <c r="N16" s="3"/>
      <c r="O16" s="6"/>
      <c r="P16" s="10"/>
      <c r="Q16" s="3"/>
    </row>
    <row r="17" spans="1:17" x14ac:dyDescent="0.25">
      <c r="A17" s="47" t="s">
        <v>22</v>
      </c>
      <c r="B17" s="8"/>
      <c r="C17" s="6"/>
      <c r="D17" s="11"/>
      <c r="E17" s="6"/>
      <c r="F17" s="8"/>
      <c r="G17" s="6"/>
      <c r="H17" s="8"/>
      <c r="I17" s="6"/>
      <c r="J17" s="8"/>
      <c r="K17" s="6"/>
      <c r="M17" s="6"/>
      <c r="N17" s="3">
        <f>AVERAGE(N18:N30)</f>
        <v>-3.3751610717769789E-2</v>
      </c>
      <c r="O17" s="6"/>
      <c r="P17" s="10"/>
      <c r="Q17" s="3"/>
    </row>
    <row r="18" spans="1:17" x14ac:dyDescent="0.25">
      <c r="A18" s="5" t="s">
        <v>23</v>
      </c>
      <c r="B18">
        <v>528.5</v>
      </c>
      <c r="C18" s="6">
        <f t="shared" si="9"/>
        <v>1117777.5</v>
      </c>
      <c r="D18">
        <v>603.5</v>
      </c>
      <c r="E18" s="6">
        <f t="shared" ref="E18:E30" si="10">D18*$C$52</f>
        <v>1493059</v>
      </c>
      <c r="F18">
        <v>3</v>
      </c>
      <c r="G18" s="12">
        <f t="shared" ref="G18" si="11">F18*$D$52</f>
        <v>8499</v>
      </c>
      <c r="I18" s="6"/>
      <c r="K18" s="6"/>
      <c r="L18" s="9">
        <v>3004148</v>
      </c>
      <c r="M18" s="6">
        <f t="shared" ref="M18:M30" si="12">SUM(K18+I18+G18+E18+C18)</f>
        <v>2619335.5</v>
      </c>
      <c r="N18" s="3">
        <f t="shared" ref="N18:N30" si="13">(M18-L18)/L18</f>
        <v>-0.12809372241314343</v>
      </c>
      <c r="O18" s="6">
        <f t="shared" ref="O18:O30" si="14">IF(N18&lt;-0.02,L18*0.98,IF(N18&gt;0.07,L18*1.07,M18))</f>
        <v>2944065.04</v>
      </c>
      <c r="P18" s="10">
        <f t="shared" ref="P18:P30" si="15">IF(O18=FALSE,M18,O18)</f>
        <v>2944065.04</v>
      </c>
      <c r="Q18" s="3">
        <f t="shared" ref="Q18:Q30" si="16">(P18-L18)/L18</f>
        <v>-1.9999999999999987E-2</v>
      </c>
    </row>
    <row r="19" spans="1:17" x14ac:dyDescent="0.25">
      <c r="A19" s="5" t="s">
        <v>24</v>
      </c>
      <c r="B19">
        <v>58.5</v>
      </c>
      <c r="C19" s="6">
        <f t="shared" si="9"/>
        <v>123727.5</v>
      </c>
      <c r="D19">
        <v>145</v>
      </c>
      <c r="E19" s="6">
        <f t="shared" si="10"/>
        <v>358730</v>
      </c>
      <c r="G19" s="12"/>
      <c r="I19" s="6"/>
      <c r="K19" s="6"/>
      <c r="L19" s="9">
        <v>476475</v>
      </c>
      <c r="M19" s="6">
        <f t="shared" si="12"/>
        <v>482457.5</v>
      </c>
      <c r="N19" s="3">
        <f t="shared" si="13"/>
        <v>1.2555747940605488E-2</v>
      </c>
      <c r="O19" s="6">
        <f t="shared" si="14"/>
        <v>482457.5</v>
      </c>
      <c r="P19" s="10">
        <f t="shared" si="15"/>
        <v>482457.5</v>
      </c>
      <c r="Q19" s="3">
        <f t="shared" si="16"/>
        <v>1.2555747940605488E-2</v>
      </c>
    </row>
    <row r="20" spans="1:17" x14ac:dyDescent="0.25">
      <c r="A20" s="5" t="s">
        <v>25</v>
      </c>
      <c r="B20">
        <v>737</v>
      </c>
      <c r="C20" s="6">
        <f t="shared" si="9"/>
        <v>1558755</v>
      </c>
      <c r="D20">
        <v>824.5</v>
      </c>
      <c r="E20" s="6">
        <f t="shared" si="10"/>
        <v>2039813</v>
      </c>
      <c r="G20" s="12"/>
      <c r="I20" s="6"/>
      <c r="K20" s="6"/>
      <c r="L20" s="9">
        <v>3851839</v>
      </c>
      <c r="M20" s="6">
        <f t="shared" si="12"/>
        <v>3598568</v>
      </c>
      <c r="N20" s="3">
        <f t="shared" si="13"/>
        <v>-6.5753267465228943E-2</v>
      </c>
      <c r="O20" s="6">
        <f t="shared" si="14"/>
        <v>3774802.2199999997</v>
      </c>
      <c r="P20" s="10">
        <f t="shared" si="15"/>
        <v>3774802.2199999997</v>
      </c>
      <c r="Q20" s="3">
        <f t="shared" si="16"/>
        <v>-2.0000000000000066E-2</v>
      </c>
    </row>
    <row r="21" spans="1:17" x14ac:dyDescent="0.25">
      <c r="A21" s="5" t="s">
        <v>26</v>
      </c>
      <c r="B21">
        <v>1169.5</v>
      </c>
      <c r="C21" s="6">
        <f t="shared" si="9"/>
        <v>2473492.5</v>
      </c>
      <c r="D21">
        <v>1049</v>
      </c>
      <c r="E21" s="6">
        <f t="shared" si="10"/>
        <v>2595226</v>
      </c>
      <c r="G21" s="12"/>
      <c r="H21">
        <v>1.5</v>
      </c>
      <c r="I21" s="12">
        <f>H21*$E$52</f>
        <v>4788</v>
      </c>
      <c r="K21" s="6"/>
      <c r="L21" s="9">
        <v>5340274</v>
      </c>
      <c r="M21" s="6">
        <f t="shared" si="12"/>
        <v>5073506.5</v>
      </c>
      <c r="N21" s="3">
        <f t="shared" si="13"/>
        <v>-4.9953897496645305E-2</v>
      </c>
      <c r="O21" s="6">
        <f t="shared" si="14"/>
        <v>5233468.5199999996</v>
      </c>
      <c r="P21" s="10">
        <f t="shared" si="15"/>
        <v>5233468.5199999996</v>
      </c>
      <c r="Q21" s="3">
        <f t="shared" si="16"/>
        <v>-2.0000000000000084E-2</v>
      </c>
    </row>
    <row r="22" spans="1:17" x14ac:dyDescent="0.25">
      <c r="A22" s="5" t="s">
        <v>27</v>
      </c>
      <c r="B22">
        <v>1706</v>
      </c>
      <c r="C22" s="6">
        <f t="shared" si="9"/>
        <v>3608190</v>
      </c>
      <c r="D22">
        <v>1904.5</v>
      </c>
      <c r="E22" s="6">
        <f t="shared" si="10"/>
        <v>4711733</v>
      </c>
      <c r="G22" s="12"/>
      <c r="I22" s="12"/>
      <c r="J22">
        <v>0.5</v>
      </c>
      <c r="K22" s="6">
        <f t="shared" si="3"/>
        <v>1057.5</v>
      </c>
      <c r="L22" s="9">
        <v>8960400</v>
      </c>
      <c r="M22" s="6">
        <f t="shared" si="12"/>
        <v>8320980.5</v>
      </c>
      <c r="N22" s="3">
        <f t="shared" si="13"/>
        <v>-7.1360597741172274E-2</v>
      </c>
      <c r="O22" s="6">
        <f t="shared" si="14"/>
        <v>8781192</v>
      </c>
      <c r="P22" s="10">
        <f t="shared" si="15"/>
        <v>8781192</v>
      </c>
      <c r="Q22" s="3">
        <f t="shared" si="16"/>
        <v>-0.02</v>
      </c>
    </row>
    <row r="23" spans="1:17" x14ac:dyDescent="0.25">
      <c r="A23" s="5" t="s">
        <v>28</v>
      </c>
      <c r="B23">
        <v>94</v>
      </c>
      <c r="C23" s="6">
        <f t="shared" si="9"/>
        <v>198810</v>
      </c>
      <c r="D23">
        <v>150.5</v>
      </c>
      <c r="E23" s="6">
        <f t="shared" si="10"/>
        <v>372337</v>
      </c>
      <c r="G23" s="12"/>
      <c r="I23" s="12"/>
      <c r="K23" s="6"/>
      <c r="L23" s="9">
        <v>534912</v>
      </c>
      <c r="M23" s="6">
        <f t="shared" si="12"/>
        <v>571147</v>
      </c>
      <c r="N23" s="3">
        <f t="shared" si="13"/>
        <v>6.7740114261785112E-2</v>
      </c>
      <c r="O23" s="6">
        <f t="shared" si="14"/>
        <v>571147</v>
      </c>
      <c r="P23" s="10">
        <f t="shared" si="15"/>
        <v>571147</v>
      </c>
      <c r="Q23" s="3">
        <f t="shared" si="16"/>
        <v>6.7740114261785112E-2</v>
      </c>
    </row>
    <row r="24" spans="1:17" x14ac:dyDescent="0.25">
      <c r="A24" s="5" t="s">
        <v>29</v>
      </c>
      <c r="B24">
        <v>76.5</v>
      </c>
      <c r="C24" s="6">
        <f t="shared" si="9"/>
        <v>161797.5</v>
      </c>
      <c r="D24">
        <v>151.5</v>
      </c>
      <c r="E24" s="6">
        <f t="shared" si="10"/>
        <v>374811</v>
      </c>
      <c r="G24" s="12"/>
      <c r="I24" s="12"/>
      <c r="K24" s="6"/>
      <c r="L24" s="9">
        <v>657553</v>
      </c>
      <c r="M24" s="6">
        <f t="shared" si="12"/>
        <v>536608.5</v>
      </c>
      <c r="N24" s="3">
        <f t="shared" si="13"/>
        <v>-0.18393118121276916</v>
      </c>
      <c r="O24" s="6">
        <f t="shared" si="14"/>
        <v>644401.93999999994</v>
      </c>
      <c r="P24" s="10">
        <f t="shared" si="15"/>
        <v>644401.93999999994</v>
      </c>
      <c r="Q24" s="3">
        <f t="shared" si="16"/>
        <v>-2.0000000000000084E-2</v>
      </c>
    </row>
    <row r="25" spans="1:17" x14ac:dyDescent="0.25">
      <c r="A25" s="5" t="s">
        <v>30</v>
      </c>
      <c r="B25">
        <v>127.5</v>
      </c>
      <c r="C25" s="6">
        <f t="shared" si="9"/>
        <v>269662.5</v>
      </c>
      <c r="D25">
        <v>227</v>
      </c>
      <c r="E25" s="6">
        <f t="shared" si="10"/>
        <v>561598</v>
      </c>
      <c r="G25" s="12"/>
      <c r="I25" s="12"/>
      <c r="K25" s="6"/>
      <c r="L25" s="9">
        <v>866153</v>
      </c>
      <c r="M25" s="6">
        <f t="shared" si="12"/>
        <v>831260.5</v>
      </c>
      <c r="N25" s="3">
        <f t="shared" si="13"/>
        <v>-4.0284453208613256E-2</v>
      </c>
      <c r="O25" s="6">
        <f t="shared" si="14"/>
        <v>848829.94</v>
      </c>
      <c r="P25" s="10">
        <f t="shared" si="15"/>
        <v>848829.94</v>
      </c>
      <c r="Q25" s="3">
        <f t="shared" si="16"/>
        <v>-2.0000000000000063E-2</v>
      </c>
    </row>
    <row r="26" spans="1:17" x14ac:dyDescent="0.25">
      <c r="A26" s="5" t="s">
        <v>31</v>
      </c>
      <c r="B26">
        <v>146</v>
      </c>
      <c r="C26" s="6">
        <f t="shared" si="9"/>
        <v>308790</v>
      </c>
      <c r="D26">
        <v>309.5</v>
      </c>
      <c r="E26" s="6">
        <f t="shared" si="10"/>
        <v>765703</v>
      </c>
      <c r="G26" s="12"/>
      <c r="I26" s="12"/>
      <c r="K26" s="6"/>
      <c r="L26" s="9">
        <v>1026685</v>
      </c>
      <c r="M26" s="6">
        <f t="shared" si="12"/>
        <v>1074493</v>
      </c>
      <c r="N26" s="3">
        <f t="shared" si="13"/>
        <v>4.6565402241193744E-2</v>
      </c>
      <c r="O26" s="6">
        <f t="shared" si="14"/>
        <v>1074493</v>
      </c>
      <c r="P26" s="10">
        <f t="shared" si="15"/>
        <v>1074493</v>
      </c>
      <c r="Q26" s="3">
        <f t="shared" si="16"/>
        <v>4.6565402241193744E-2</v>
      </c>
    </row>
    <row r="27" spans="1:17" x14ac:dyDescent="0.25">
      <c r="A27" s="5" t="s">
        <v>32</v>
      </c>
      <c r="B27">
        <v>1970</v>
      </c>
      <c r="C27" s="6">
        <f t="shared" si="9"/>
        <v>4166550</v>
      </c>
      <c r="D27">
        <v>2652.5</v>
      </c>
      <c r="E27" s="6">
        <f t="shared" si="10"/>
        <v>6562285</v>
      </c>
      <c r="F27">
        <v>2</v>
      </c>
      <c r="G27" s="12">
        <f>F27*$D$52</f>
        <v>5666</v>
      </c>
      <c r="H27">
        <v>2</v>
      </c>
      <c r="I27" s="12"/>
      <c r="K27" s="6"/>
      <c r="L27" s="9">
        <v>9993071</v>
      </c>
      <c r="M27" s="6">
        <f t="shared" si="12"/>
        <v>10734501</v>
      </c>
      <c r="N27" s="3">
        <f t="shared" si="13"/>
        <v>7.419440930620827E-2</v>
      </c>
      <c r="O27" s="6">
        <f t="shared" si="14"/>
        <v>10692585.970000001</v>
      </c>
      <c r="P27" s="10">
        <f t="shared" si="15"/>
        <v>10692585.970000001</v>
      </c>
      <c r="Q27" s="3">
        <f t="shared" si="16"/>
        <v>7.0000000000000062E-2</v>
      </c>
    </row>
    <row r="28" spans="1:17" x14ac:dyDescent="0.25">
      <c r="A28" s="5" t="s">
        <v>33</v>
      </c>
      <c r="B28">
        <v>869.5</v>
      </c>
      <c r="C28" s="6">
        <f t="shared" si="9"/>
        <v>1838992.5</v>
      </c>
      <c r="D28">
        <v>1000.5</v>
      </c>
      <c r="E28" s="6">
        <f t="shared" si="10"/>
        <v>2475237</v>
      </c>
      <c r="G28" s="12"/>
      <c r="H28">
        <v>7.5</v>
      </c>
      <c r="I28" s="12">
        <f t="shared" ref="I28:I29" si="17">H28*$E$52</f>
        <v>23940</v>
      </c>
      <c r="J28">
        <v>1</v>
      </c>
      <c r="K28" s="6">
        <f t="shared" si="3"/>
        <v>2115</v>
      </c>
      <c r="L28" s="9">
        <v>4756617</v>
      </c>
      <c r="M28" s="6">
        <f t="shared" si="12"/>
        <v>4340284.5</v>
      </c>
      <c r="N28" s="3">
        <f t="shared" si="13"/>
        <v>-8.7527017626182646E-2</v>
      </c>
      <c r="O28" s="6">
        <f t="shared" si="14"/>
        <v>4661484.66</v>
      </c>
      <c r="P28" s="10">
        <f t="shared" si="15"/>
        <v>4661484.66</v>
      </c>
      <c r="Q28" s="3">
        <f t="shared" si="16"/>
        <v>-1.9999999999999969E-2</v>
      </c>
    </row>
    <row r="29" spans="1:17" x14ac:dyDescent="0.25">
      <c r="A29" s="5" t="s">
        <v>34</v>
      </c>
      <c r="B29">
        <v>692.5</v>
      </c>
      <c r="C29" s="6">
        <f t="shared" si="9"/>
        <v>1464637.5</v>
      </c>
      <c r="D29">
        <v>871.5</v>
      </c>
      <c r="E29" s="6">
        <f t="shared" si="10"/>
        <v>2156091</v>
      </c>
      <c r="F29">
        <v>1</v>
      </c>
      <c r="G29" s="12">
        <f t="shared" ref="G29" si="18">F29*$D$52</f>
        <v>2833</v>
      </c>
      <c r="H29">
        <v>2</v>
      </c>
      <c r="I29" s="12">
        <f t="shared" si="17"/>
        <v>6384</v>
      </c>
      <c r="J29">
        <v>1</v>
      </c>
      <c r="K29" s="6">
        <f t="shared" si="3"/>
        <v>2115</v>
      </c>
      <c r="L29" s="9">
        <v>3816273</v>
      </c>
      <c r="M29" s="6">
        <f t="shared" si="12"/>
        <v>3632060.5</v>
      </c>
      <c r="N29" s="3">
        <f t="shared" si="13"/>
        <v>-4.8270262635822958E-2</v>
      </c>
      <c r="O29" s="6">
        <f t="shared" si="14"/>
        <v>3739947.54</v>
      </c>
      <c r="P29" s="10">
        <f t="shared" si="15"/>
        <v>3739947.54</v>
      </c>
      <c r="Q29" s="3">
        <f t="shared" si="16"/>
        <v>-1.999999999999999E-2</v>
      </c>
    </row>
    <row r="30" spans="1:17" x14ac:dyDescent="0.25">
      <c r="A30" s="5" t="s">
        <v>35</v>
      </c>
      <c r="B30">
        <v>135.5</v>
      </c>
      <c r="C30" s="6">
        <f t="shared" si="9"/>
        <v>286582.5</v>
      </c>
      <c r="D30">
        <v>375</v>
      </c>
      <c r="E30" s="6">
        <f t="shared" si="10"/>
        <v>927750</v>
      </c>
      <c r="G30" s="6"/>
      <c r="I30" s="6"/>
      <c r="K30" s="6"/>
      <c r="L30" s="9">
        <v>1172874</v>
      </c>
      <c r="M30" s="6">
        <f t="shared" si="12"/>
        <v>1214332.5</v>
      </c>
      <c r="N30" s="3">
        <f t="shared" si="13"/>
        <v>3.5347786718777974E-2</v>
      </c>
      <c r="O30" s="6">
        <f t="shared" si="14"/>
        <v>1214332.5</v>
      </c>
      <c r="P30" s="10">
        <f t="shared" si="15"/>
        <v>1214332.5</v>
      </c>
      <c r="Q30" s="3">
        <f t="shared" si="16"/>
        <v>3.5347786718777974E-2</v>
      </c>
    </row>
    <row r="31" spans="1:17" x14ac:dyDescent="0.25">
      <c r="B31" s="8"/>
      <c r="C31" s="6"/>
      <c r="E31" s="6"/>
      <c r="F31" s="8"/>
      <c r="G31" s="6"/>
      <c r="H31" s="8"/>
      <c r="I31" s="6"/>
      <c r="J31" s="8"/>
      <c r="K31" s="6"/>
      <c r="M31" s="6"/>
      <c r="N31" s="3"/>
      <c r="O31" s="6"/>
      <c r="P31" s="10"/>
      <c r="Q31" s="3"/>
    </row>
    <row r="32" spans="1:17" x14ac:dyDescent="0.25">
      <c r="A32" s="47" t="s">
        <v>36</v>
      </c>
      <c r="B32" s="8"/>
      <c r="C32" s="6"/>
      <c r="E32" s="6"/>
      <c r="F32" s="8"/>
      <c r="G32" s="6"/>
      <c r="H32" s="8"/>
      <c r="I32" s="6"/>
      <c r="J32" s="8"/>
      <c r="K32" s="6"/>
      <c r="M32" s="6"/>
      <c r="N32" s="3"/>
      <c r="O32" s="6"/>
      <c r="P32" s="10"/>
      <c r="Q32" s="3"/>
    </row>
    <row r="33" spans="1:17" x14ac:dyDescent="0.25">
      <c r="A33" s="5" t="s">
        <v>37</v>
      </c>
      <c r="B33">
        <v>785.5</v>
      </c>
      <c r="C33" s="6">
        <f>B33*$B$52</f>
        <v>1661332.5</v>
      </c>
      <c r="D33">
        <v>1007</v>
      </c>
      <c r="E33" s="6">
        <f>D33*$C$52</f>
        <v>2491318</v>
      </c>
      <c r="F33" s="8"/>
      <c r="G33" s="6"/>
      <c r="H33" s="8"/>
      <c r="I33" s="6"/>
      <c r="J33" s="8"/>
      <c r="K33" s="6"/>
      <c r="L33" s="9">
        <v>3621278</v>
      </c>
      <c r="M33" s="6">
        <f>SUM(K33+I33+G33+E33+C33)</f>
        <v>4152650.5</v>
      </c>
      <c r="N33" s="3">
        <f>(M33-L33)/L33</f>
        <v>0.14673617987903717</v>
      </c>
      <c r="O33" s="6">
        <f>IF(N33&lt;-0.02,L33*0.98,IF(N33&gt;0.07,L33*1.07,M33))</f>
        <v>3874767.4600000004</v>
      </c>
      <c r="P33" s="10">
        <f>IF(O33=FALSE,M33,O33)</f>
        <v>3874767.4600000004</v>
      </c>
      <c r="Q33" s="3">
        <f>(P33-L33)/L33</f>
        <v>7.0000000000000118E-2</v>
      </c>
    </row>
    <row r="34" spans="1:17" x14ac:dyDescent="0.25">
      <c r="A34" s="5" t="s">
        <v>38</v>
      </c>
      <c r="B34">
        <v>574</v>
      </c>
      <c r="C34" s="6">
        <f>B34*$B$52</f>
        <v>1214010</v>
      </c>
      <c r="D34">
        <v>404</v>
      </c>
      <c r="E34" s="6">
        <f>D34*$C$52</f>
        <v>999496</v>
      </c>
      <c r="F34" s="8">
        <v>14</v>
      </c>
      <c r="G34" s="6">
        <f>F34*$D$52</f>
        <v>39662</v>
      </c>
      <c r="H34" s="8">
        <v>0</v>
      </c>
      <c r="I34" s="6">
        <f>H34*$E$52</f>
        <v>0</v>
      </c>
      <c r="J34" s="8"/>
      <c r="K34" s="6"/>
      <c r="L34" s="9">
        <v>2203668</v>
      </c>
      <c r="M34" s="6">
        <f>SUM(K34+I34+G34+E34+C34)</f>
        <v>2253168</v>
      </c>
      <c r="N34" s="3">
        <f>(M34-L34)/L34</f>
        <v>2.2462548804992405E-2</v>
      </c>
      <c r="O34" s="6">
        <f>IF(N34&lt;-0.02,L34*0.98,IF(N34&gt;0.07,L34*1.07,M34))</f>
        <v>2253168</v>
      </c>
      <c r="P34" s="10">
        <f>IF(O34=FALSE,M34,O34)</f>
        <v>2253168</v>
      </c>
      <c r="Q34" s="3">
        <f>(P34-L34)/L34</f>
        <v>2.2462548804992405E-2</v>
      </c>
    </row>
    <row r="35" spans="1:17" x14ac:dyDescent="0.25">
      <c r="B35" s="8"/>
      <c r="C35" s="6"/>
      <c r="E35" s="6"/>
      <c r="F35" s="8"/>
      <c r="G35" s="6"/>
      <c r="H35" s="8"/>
      <c r="I35" s="6"/>
      <c r="J35" s="8"/>
      <c r="K35" s="6"/>
      <c r="M35" s="6"/>
      <c r="N35" s="3"/>
      <c r="O35" s="6"/>
      <c r="P35" s="10"/>
      <c r="Q35" s="3"/>
    </row>
    <row r="36" spans="1:17" x14ac:dyDescent="0.25">
      <c r="A36" s="47" t="s">
        <v>39</v>
      </c>
      <c r="B36" s="8"/>
      <c r="C36" s="6"/>
      <c r="D36" s="11"/>
      <c r="E36" s="6"/>
      <c r="F36" s="8"/>
      <c r="G36" s="6"/>
      <c r="H36" s="8"/>
      <c r="I36" s="6"/>
      <c r="J36" s="8"/>
      <c r="K36" s="6"/>
      <c r="M36" s="6"/>
      <c r="N36" s="3"/>
      <c r="O36" s="6"/>
      <c r="P36" s="10"/>
      <c r="Q36" s="3"/>
    </row>
    <row r="37" spans="1:17" x14ac:dyDescent="0.25">
      <c r="A37" s="5" t="s">
        <v>40</v>
      </c>
      <c r="B37">
        <v>186.5</v>
      </c>
      <c r="C37" s="6">
        <f>B37*$B$52</f>
        <v>394447.5</v>
      </c>
      <c r="D37">
        <v>234</v>
      </c>
      <c r="E37" s="6">
        <f>D37*$C$52</f>
        <v>578916</v>
      </c>
      <c r="F37" s="13">
        <v>218.5</v>
      </c>
      <c r="G37" s="6">
        <f>F37*$D$52</f>
        <v>619010.5</v>
      </c>
      <c r="H37">
        <v>274</v>
      </c>
      <c r="I37" s="6">
        <f>H37*$E$52</f>
        <v>874608</v>
      </c>
      <c r="J37" s="8"/>
      <c r="K37" s="6"/>
      <c r="L37" s="9">
        <v>2167621</v>
      </c>
      <c r="M37" s="6">
        <f>SUM(K37+I37+G37+E37+C37)</f>
        <v>2466982</v>
      </c>
      <c r="N37" s="3">
        <f>(M37-L37)/L37</f>
        <v>0.13810578509804067</v>
      </c>
      <c r="O37" s="6">
        <f>IF(N37&lt;-0.02,L37*0.98,IF(N37&gt;0.07,L37*1.07,M37))</f>
        <v>2319354.4700000002</v>
      </c>
      <c r="P37" s="10">
        <f>IF(O37=FALSE,M37,O37)</f>
        <v>2319354.4700000002</v>
      </c>
      <c r="Q37" s="3">
        <f>(P37-L37)/L37</f>
        <v>7.000000000000009E-2</v>
      </c>
    </row>
    <row r="38" spans="1:17" x14ac:dyDescent="0.25">
      <c r="A38" s="5" t="s">
        <v>41</v>
      </c>
      <c r="B38">
        <v>12</v>
      </c>
      <c r="C38" s="6">
        <f>B38*$B$52</f>
        <v>25380</v>
      </c>
      <c r="D38">
        <v>13.5</v>
      </c>
      <c r="E38" s="6">
        <f>D38*$C$52</f>
        <v>33399</v>
      </c>
      <c r="F38" s="8">
        <v>13</v>
      </c>
      <c r="G38" s="6">
        <f>F38*$D$52</f>
        <v>36829</v>
      </c>
      <c r="H38">
        <v>18.5</v>
      </c>
      <c r="I38" s="6">
        <f>H38*$E$52</f>
        <v>59052</v>
      </c>
      <c r="J38" s="8"/>
      <c r="K38" s="6"/>
      <c r="L38" s="9">
        <v>158879</v>
      </c>
      <c r="M38" s="6">
        <f>SUM(K38+I38+G38+E38+C38)</f>
        <v>154660</v>
      </c>
      <c r="N38" s="3">
        <f>(M38-L38)/L38</f>
        <v>-2.6554799564448416E-2</v>
      </c>
      <c r="O38" s="6">
        <f>IF(N38&lt;-0.02,L38*0.98,IF(N38&gt;0.07,L38*1.07,M38))</f>
        <v>155701.41999999998</v>
      </c>
      <c r="P38" s="10">
        <f>IF(O38=FALSE,M38,O38)</f>
        <v>155701.41999999998</v>
      </c>
      <c r="Q38" s="3">
        <f>(P38-L38)/L38</f>
        <v>-2.0000000000000101E-2</v>
      </c>
    </row>
    <row r="39" spans="1:17" x14ac:dyDescent="0.25">
      <c r="A39" s="5" t="s">
        <v>42</v>
      </c>
      <c r="B39">
        <v>30</v>
      </c>
      <c r="C39" s="6">
        <f>B39*$B$52</f>
        <v>63450</v>
      </c>
      <c r="D39">
        <v>23</v>
      </c>
      <c r="E39" s="6">
        <f>D39*$C$52</f>
        <v>56902</v>
      </c>
      <c r="F39" s="8">
        <v>35</v>
      </c>
      <c r="G39" s="6">
        <f>F39*$D$52</f>
        <v>99155</v>
      </c>
      <c r="H39">
        <v>26</v>
      </c>
      <c r="I39" s="6">
        <f>H39*$E$52</f>
        <v>82992</v>
      </c>
      <c r="J39" s="8"/>
      <c r="K39" s="6"/>
      <c r="L39" s="9">
        <v>126850</v>
      </c>
      <c r="M39" s="6">
        <f>SUM(K39+I39+G39+E39+C39)</f>
        <v>302499</v>
      </c>
      <c r="N39" s="3">
        <f>(M39-L39)/L39</f>
        <v>1.3846984627512811</v>
      </c>
      <c r="O39" s="6">
        <f>IF(N39&lt;-0.02,L39*0.98,IF(N39&gt;0.07,L39*1.07,M39))</f>
        <v>135729.5</v>
      </c>
      <c r="P39" s="10">
        <f>IF(O39=FALSE,M39,O39)</f>
        <v>135729.5</v>
      </c>
      <c r="Q39" s="3">
        <f>(P39-L39)/L39</f>
        <v>7.0000000000000007E-2</v>
      </c>
    </row>
    <row r="40" spans="1:17" x14ac:dyDescent="0.25">
      <c r="A40" s="5" t="s">
        <v>43</v>
      </c>
      <c r="B40">
        <v>147.5</v>
      </c>
      <c r="C40" s="6">
        <f>B40*$B$52</f>
        <v>311962.5</v>
      </c>
      <c r="D40">
        <v>125.5</v>
      </c>
      <c r="E40" s="6">
        <f>D40*$C$52</f>
        <v>310487</v>
      </c>
      <c r="F40" s="13">
        <v>180.5</v>
      </c>
      <c r="G40" s="6">
        <f>F40*$D$52</f>
        <v>511356.5</v>
      </c>
      <c r="H40">
        <v>313</v>
      </c>
      <c r="I40" s="6">
        <f>H40*$E$52</f>
        <v>999096</v>
      </c>
      <c r="J40" s="13">
        <v>2.5</v>
      </c>
      <c r="K40" s="6">
        <f>J40*$B$52</f>
        <v>5287.5</v>
      </c>
      <c r="L40" s="9">
        <v>2410209</v>
      </c>
      <c r="M40" s="6">
        <f>SUM(K40+I40+G40+E40+C40)</f>
        <v>2138189.5</v>
      </c>
      <c r="N40" s="3">
        <f>(M40-L40)/L40</f>
        <v>-0.11286137426256396</v>
      </c>
      <c r="O40" s="6">
        <f>IF(N40&lt;-0.02,L40*0.98,IF(N40&gt;0.07,L40*1.07,M40))</f>
        <v>2362004.8199999998</v>
      </c>
      <c r="P40" s="10">
        <f>IF(O40=FALSE,M40,O40)</f>
        <v>2362004.8199999998</v>
      </c>
      <c r="Q40" s="3">
        <f>(P40-L40)/L40</f>
        <v>-2.000000000000007E-2</v>
      </c>
    </row>
    <row r="41" spans="1:17" x14ac:dyDescent="0.25">
      <c r="A41" s="5" t="s">
        <v>44</v>
      </c>
      <c r="B41">
        <v>48</v>
      </c>
      <c r="C41" s="6">
        <f>B41*$B$52</f>
        <v>101520</v>
      </c>
      <c r="D41">
        <v>135</v>
      </c>
      <c r="E41" s="6">
        <f>D41*$C$52</f>
        <v>333990</v>
      </c>
      <c r="F41" s="8">
        <v>125</v>
      </c>
      <c r="G41" s="6">
        <f>F41*$D$52</f>
        <v>354125</v>
      </c>
      <c r="H41">
        <v>250</v>
      </c>
      <c r="I41" s="6">
        <f>H41*$E$52</f>
        <v>798000</v>
      </c>
      <c r="J41" s="8"/>
      <c r="K41" s="6"/>
      <c r="L41" s="9">
        <v>1460713</v>
      </c>
      <c r="M41" s="6">
        <f>SUM(K41+I41+G41+E41+C41)</f>
        <v>1587635</v>
      </c>
      <c r="N41" s="3">
        <f>(M41-L41)/L41</f>
        <v>8.6890443228751987E-2</v>
      </c>
      <c r="O41" s="6">
        <f>IF(N41&lt;-0.02,L41*0.98,IF(N41&gt;0.07,L41*1.07,M41))</f>
        <v>1562962.9100000001</v>
      </c>
      <c r="P41" s="10">
        <f>IF(O41=FALSE,M41,O41)</f>
        <v>1562962.9100000001</v>
      </c>
      <c r="Q41" s="3">
        <f>(P41-L41)/L41</f>
        <v>7.0000000000000104E-2</v>
      </c>
    </row>
    <row r="42" spans="1:17" x14ac:dyDescent="0.25">
      <c r="B42" s="8"/>
      <c r="C42" s="6"/>
      <c r="E42" s="6"/>
      <c r="F42" s="8"/>
      <c r="G42" s="6"/>
      <c r="I42" s="6"/>
      <c r="J42" s="8"/>
      <c r="K42" s="6"/>
      <c r="M42" s="6"/>
      <c r="N42" s="3"/>
      <c r="O42" s="6"/>
      <c r="P42" s="10"/>
      <c r="Q42" s="3"/>
    </row>
    <row r="43" spans="1:17" x14ac:dyDescent="0.25">
      <c r="A43" s="47" t="s">
        <v>45</v>
      </c>
      <c r="B43" s="8"/>
      <c r="C43" s="6"/>
      <c r="E43" s="6"/>
      <c r="F43" s="8"/>
      <c r="G43" s="6"/>
      <c r="I43" s="6"/>
      <c r="J43" s="8"/>
      <c r="K43" s="6"/>
      <c r="M43" s="6"/>
      <c r="N43" s="3"/>
      <c r="O43" s="6"/>
      <c r="P43" s="10"/>
      <c r="Q43" s="3"/>
    </row>
    <row r="44" spans="1:17" x14ac:dyDescent="0.25">
      <c r="A44" s="5" t="s">
        <v>46</v>
      </c>
      <c r="B44">
        <v>32.5</v>
      </c>
      <c r="C44" s="6">
        <f>B44*$B$52</f>
        <v>68737.5</v>
      </c>
      <c r="D44">
        <v>24</v>
      </c>
      <c r="E44" s="6">
        <f t="shared" ref="E44:E45" si="19">D44*$C$52</f>
        <v>59376</v>
      </c>
      <c r="F44" s="8"/>
      <c r="G44" s="6"/>
      <c r="I44" s="6"/>
      <c r="J44" s="8"/>
      <c r="K44" s="6"/>
      <c r="L44" s="9">
        <v>151048</v>
      </c>
      <c r="M44" s="6">
        <f>SUM(K44+I44+G44+E44+C44)</f>
        <v>128113.5</v>
      </c>
      <c r="N44" s="3">
        <f>(M44-L44)/L44</f>
        <v>-0.15183584026269795</v>
      </c>
      <c r="O44" s="6">
        <f>IF(N44&lt;-0.02,L44*0.98,IF(N44&gt;0.07,L44*1.07,M44))</f>
        <v>148027.04</v>
      </c>
      <c r="P44" s="10">
        <f>IF(O44=FALSE,M44,O44)</f>
        <v>148027.04</v>
      </c>
      <c r="Q44" s="3">
        <f>(P44-L44)/L44</f>
        <v>-1.9999999999999945E-2</v>
      </c>
    </row>
    <row r="45" spans="1:17" x14ac:dyDescent="0.25">
      <c r="A45" s="5" t="s">
        <v>47</v>
      </c>
      <c r="B45">
        <v>490</v>
      </c>
      <c r="C45" s="6">
        <f>B45*$B$52</f>
        <v>1036350</v>
      </c>
      <c r="E45" s="6">
        <f t="shared" si="19"/>
        <v>0</v>
      </c>
      <c r="F45" s="8"/>
      <c r="G45" s="6"/>
      <c r="I45" s="6"/>
      <c r="J45" s="8"/>
      <c r="K45" s="6"/>
      <c r="L45" s="9">
        <v>717977</v>
      </c>
      <c r="M45" s="6">
        <f>SUM(K45+I45+G45+E45+C45)</f>
        <v>1036350</v>
      </c>
      <c r="N45" s="3">
        <f>(M45-L45)/L45</f>
        <v>0.4434306391430366</v>
      </c>
      <c r="O45" s="6">
        <f>IF(N45&lt;-0.02,L45*0.98,IF(N45&gt;0.07,L45*1.07,M45))</f>
        <v>768235.39</v>
      </c>
      <c r="P45" s="10">
        <f>IF(O45=FALSE,M45,O45)</f>
        <v>768235.39</v>
      </c>
      <c r="Q45" s="3">
        <f>(P45-L45)/L45</f>
        <v>7.0000000000000021E-2</v>
      </c>
    </row>
    <row r="46" spans="1:17" x14ac:dyDescent="0.25">
      <c r="A46" s="5" t="s">
        <v>48</v>
      </c>
      <c r="B46">
        <v>110</v>
      </c>
      <c r="C46" s="6">
        <f>B46*$B$52</f>
        <v>232650</v>
      </c>
      <c r="D46" s="4">
        <v>93.5</v>
      </c>
      <c r="E46" s="10">
        <f>D46*$B$52</f>
        <v>197752.5</v>
      </c>
      <c r="F46" s="14"/>
      <c r="G46" s="10"/>
      <c r="H46" s="4">
        <v>2</v>
      </c>
      <c r="I46" s="10">
        <f>H46*$B$52</f>
        <v>4230</v>
      </c>
      <c r="J46" s="8">
        <v>1</v>
      </c>
      <c r="K46" s="6">
        <f t="shared" ref="K46" si="20">J46*$B$52</f>
        <v>2115</v>
      </c>
      <c r="L46" s="9">
        <v>542250</v>
      </c>
      <c r="M46" s="6">
        <f>SUM(K46+I46+G46+E46+C46)</f>
        <v>436747.5</v>
      </c>
      <c r="N46" s="3">
        <f>(M46-L46)/L46</f>
        <v>-0.19456431535269711</v>
      </c>
      <c r="O46" s="6">
        <f>IF(N46&lt;-0.02,L46*0.98,IF(N46&gt;0.07,L46*1.07,M46))</f>
        <v>531405</v>
      </c>
      <c r="P46" s="10">
        <f>IF(O46=FALSE,M46,O46)</f>
        <v>531405</v>
      </c>
      <c r="Q46" s="3">
        <f>(P46-L46)/L46</f>
        <v>-0.02</v>
      </c>
    </row>
    <row r="47" spans="1:17" x14ac:dyDescent="0.25">
      <c r="A47" s="5"/>
      <c r="C47" s="6"/>
      <c r="D47" s="4"/>
      <c r="E47" s="10"/>
      <c r="F47" s="14"/>
      <c r="G47" s="10"/>
      <c r="H47" s="4"/>
      <c r="I47" s="10"/>
      <c r="J47" s="8"/>
      <c r="K47" s="6"/>
      <c r="L47" s="9"/>
      <c r="M47" s="6"/>
      <c r="N47" s="3"/>
      <c r="O47" s="6"/>
      <c r="P47" s="10"/>
      <c r="Q47" s="3"/>
    </row>
    <row r="48" spans="1:17" ht="18.75" x14ac:dyDescent="0.3">
      <c r="A48" s="48" t="s">
        <v>49</v>
      </c>
      <c r="B48" s="15">
        <f>SUM(B4:B46)</f>
        <v>17117.5</v>
      </c>
      <c r="C48" s="16">
        <f>SUM(C4:C46)</f>
        <v>36203512.5</v>
      </c>
      <c r="D48" s="15">
        <f>SUM(D4:D46)</f>
        <v>18981.5</v>
      </c>
      <c r="E48" s="16">
        <f>SUM(E4:E46)</f>
        <v>46926664.5</v>
      </c>
      <c r="F48" s="17">
        <f>SUM(F4:F41)</f>
        <v>8118</v>
      </c>
      <c r="G48" s="16">
        <f>SUM(G4:G41)</f>
        <v>22998294</v>
      </c>
      <c r="H48" s="15">
        <f>SUM(H4:H41)</f>
        <v>15466</v>
      </c>
      <c r="I48" s="16">
        <f>SUM(I4:I46)</f>
        <v>49365318</v>
      </c>
      <c r="J48" s="17">
        <f>SUM(J4:J41)</f>
        <v>174.5</v>
      </c>
      <c r="K48" s="16">
        <f>SUM(K4:K46)</f>
        <v>371182.5</v>
      </c>
      <c r="L48" s="16">
        <f>SUM(L4:L46)</f>
        <v>149735303</v>
      </c>
      <c r="M48" s="16">
        <f>SUM(K48+I48+G48+E48+C48)</f>
        <v>155864971.5</v>
      </c>
      <c r="N48" s="18">
        <f>(M48-L48)/L48</f>
        <v>4.0936695469871921E-2</v>
      </c>
      <c r="O48" s="49">
        <f>SUM(O4:O46)</f>
        <v>154937319.14999995</v>
      </c>
      <c r="P48" s="19">
        <f>SUM(P4:P46)</f>
        <v>154937319.14999995</v>
      </c>
      <c r="Q48" s="18">
        <f>(P48-L48)/L48</f>
        <v>3.4741413987053847E-2</v>
      </c>
    </row>
    <row r="49" spans="1:16" x14ac:dyDescent="0.25">
      <c r="A49" s="5"/>
      <c r="M49" s="6"/>
    </row>
    <row r="50" spans="1:16" x14ac:dyDescent="0.25">
      <c r="L50" s="20"/>
      <c r="P50" s="21">
        <v>167738379.41048533</v>
      </c>
    </row>
    <row r="51" spans="1:16" x14ac:dyDescent="0.25">
      <c r="A51" s="5" t="s">
        <v>50</v>
      </c>
      <c r="B51" t="s">
        <v>51</v>
      </c>
      <c r="C51" t="s">
        <v>52</v>
      </c>
      <c r="D51" t="s">
        <v>53</v>
      </c>
      <c r="E51" t="s">
        <v>54</v>
      </c>
      <c r="L51" s="6"/>
      <c r="P51" s="4" t="s">
        <v>55</v>
      </c>
    </row>
    <row r="52" spans="1:16" x14ac:dyDescent="0.25">
      <c r="A52">
        <v>359</v>
      </c>
      <c r="B52" s="6">
        <v>2115</v>
      </c>
      <c r="C52" s="6">
        <f>B52+A52</f>
        <v>2474</v>
      </c>
      <c r="D52" s="6">
        <f>C52+A52</f>
        <v>2833</v>
      </c>
      <c r="E52" s="6">
        <f>D52+A52</f>
        <v>3192</v>
      </c>
    </row>
    <row r="56" spans="1:16" x14ac:dyDescent="0.25">
      <c r="A56" t="s">
        <v>56</v>
      </c>
      <c r="B56" s="6">
        <f>P50-P48</f>
        <v>12801060.260485381</v>
      </c>
      <c r="J56" s="74" t="s">
        <v>80</v>
      </c>
      <c r="K56" s="74"/>
      <c r="M56" s="6">
        <f>'[1]+2%'!$F$40</f>
        <v>11863751.071898468</v>
      </c>
    </row>
    <row r="57" spans="1:16" x14ac:dyDescent="0.25">
      <c r="B57" s="9" t="e">
        <f>IF(B56&gt;=M58, TRUE, FALSE)</f>
        <v>#REF!</v>
      </c>
      <c r="J57" s="74" t="s">
        <v>81</v>
      </c>
      <c r="K57" s="74"/>
      <c r="M57" s="6" t="e">
        <f>#REF!</f>
        <v>#REF!</v>
      </c>
    </row>
    <row r="58" spans="1:16" x14ac:dyDescent="0.25">
      <c r="B58" s="6" t="e">
        <f>B56-M58</f>
        <v>#REF!</v>
      </c>
      <c r="M58" s="6" t="e">
        <f>M56+M57</f>
        <v>#REF!</v>
      </c>
    </row>
    <row r="59" spans="1:16" x14ac:dyDescent="0.25">
      <c r="A59" t="s">
        <v>57</v>
      </c>
    </row>
    <row r="60" spans="1:16" x14ac:dyDescent="0.25">
      <c r="B60" t="s">
        <v>51</v>
      </c>
      <c r="C60" t="s">
        <v>52</v>
      </c>
      <c r="D60" t="s">
        <v>53</v>
      </c>
      <c r="E60" t="s">
        <v>54</v>
      </c>
    </row>
    <row r="61" spans="1:16" x14ac:dyDescent="0.25">
      <c r="A61">
        <v>399</v>
      </c>
      <c r="B61" s="6">
        <v>2250</v>
      </c>
      <c r="C61" s="6">
        <v>2649</v>
      </c>
      <c r="D61" s="6">
        <v>3048</v>
      </c>
      <c r="E61" s="6">
        <v>3447</v>
      </c>
    </row>
  </sheetData>
  <mergeCells count="2">
    <mergeCell ref="J56:K56"/>
    <mergeCell ref="J57:K57"/>
  </mergeCells>
  <pageMargins left="0.7" right="0.7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98FC-F5A9-4394-98BC-D6E3D7EE2255}">
  <dimension ref="A1:Q61"/>
  <sheetViews>
    <sheetView view="pageBreakPreview" topLeftCell="A15" zoomScale="60" zoomScaleNormal="80" workbookViewId="0">
      <selection activeCell="V15" sqref="V15"/>
    </sheetView>
  </sheetViews>
  <sheetFormatPr defaultRowHeight="15" x14ac:dyDescent="0.25"/>
  <cols>
    <col min="1" max="1" width="39.42578125" customWidth="1"/>
    <col min="2" max="2" width="14.7109375" hidden="1" customWidth="1"/>
    <col min="3" max="3" width="15.7109375" hidden="1" customWidth="1"/>
    <col min="4" max="4" width="11.5703125" hidden="1" customWidth="1"/>
    <col min="5" max="5" width="15.5703125" hidden="1" customWidth="1"/>
    <col min="6" max="6" width="9.140625" hidden="1" customWidth="1"/>
    <col min="7" max="7" width="15.7109375" hidden="1" customWidth="1"/>
    <col min="8" max="8" width="9.140625" hidden="1" customWidth="1"/>
    <col min="9" max="9" width="15.7109375" hidden="1" customWidth="1"/>
    <col min="10" max="10" width="16" hidden="1" customWidth="1"/>
    <col min="11" max="11" width="16.42578125" hidden="1" customWidth="1"/>
    <col min="12" max="15" width="18.42578125" customWidth="1"/>
    <col min="16" max="16" width="18.42578125" style="4" customWidth="1"/>
    <col min="17" max="17" width="18.42578125" customWidth="1"/>
  </cols>
  <sheetData>
    <row r="1" spans="1:17" x14ac:dyDescent="0.25">
      <c r="A1" t="s">
        <v>87</v>
      </c>
    </row>
    <row r="2" spans="1:17" ht="30" x14ac:dyDescent="0.25">
      <c r="A2" s="1"/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6</v>
      </c>
      <c r="M2" s="1" t="s">
        <v>5</v>
      </c>
      <c r="N2" s="1" t="s">
        <v>8</v>
      </c>
      <c r="O2" s="1" t="s">
        <v>74</v>
      </c>
      <c r="P2" s="2" t="s">
        <v>7</v>
      </c>
      <c r="Q2" s="1" t="s">
        <v>91</v>
      </c>
    </row>
    <row r="3" spans="1:17" x14ac:dyDescent="0.25">
      <c r="A3" s="43" t="s">
        <v>9</v>
      </c>
      <c r="N3" s="3">
        <f>AVERAGE(N4:N15)</f>
        <v>-7.0234422825450572E-3</v>
      </c>
    </row>
    <row r="4" spans="1:17" x14ac:dyDescent="0.25">
      <c r="A4" s="5" t="s">
        <v>10</v>
      </c>
      <c r="B4">
        <v>207.5</v>
      </c>
      <c r="C4" s="6">
        <f>B4*$B$52</f>
        <v>419150</v>
      </c>
      <c r="D4">
        <v>147</v>
      </c>
      <c r="E4" s="6">
        <f t="shared" ref="E4:E15" si="0">D4*$C$52</f>
        <v>346920</v>
      </c>
      <c r="F4">
        <v>125.5</v>
      </c>
      <c r="G4" s="6">
        <f t="shared" ref="G4:G15" si="1">F4*$D$52</f>
        <v>338850</v>
      </c>
      <c r="H4">
        <v>259.5</v>
      </c>
      <c r="I4" s="6">
        <f t="shared" ref="I4:I15" si="2">H4*$E$52</f>
        <v>788880</v>
      </c>
      <c r="J4">
        <v>4</v>
      </c>
      <c r="K4" s="6">
        <f t="shared" ref="K4:K29" si="3">J4*$B$52</f>
        <v>8080</v>
      </c>
      <c r="L4" s="9">
        <v>2259818</v>
      </c>
      <c r="M4" s="21">
        <f t="shared" ref="M4:M15" si="4">SUM(K4+I4+G4+E4+C4)</f>
        <v>1901880</v>
      </c>
      <c r="N4" s="3">
        <f t="shared" ref="N4:N15" si="5">(M4-L4)/L4</f>
        <v>-0.15839240151198017</v>
      </c>
      <c r="O4" s="6">
        <f t="shared" ref="O4:O15" si="6">IF(N4&lt;-0.03,L4*0.97,IF(N4&gt;0.05,L4*1.05,M4))</f>
        <v>2192023.46</v>
      </c>
      <c r="P4" s="10">
        <f t="shared" ref="P4:P15" si="7">IF(O4=FALSE,M4,O4)</f>
        <v>2192023.46</v>
      </c>
      <c r="Q4" s="3">
        <f t="shared" ref="Q4:Q15" si="8">(P4-L4)/L4</f>
        <v>-3.0000000000000016E-2</v>
      </c>
    </row>
    <row r="5" spans="1:17" x14ac:dyDescent="0.25">
      <c r="A5" s="5" t="s">
        <v>11</v>
      </c>
      <c r="B5">
        <v>588</v>
      </c>
      <c r="C5" s="6">
        <f t="shared" ref="C5:C30" si="9">B5*$B$52</f>
        <v>1187760</v>
      </c>
      <c r="D5">
        <v>750.5</v>
      </c>
      <c r="E5" s="6">
        <f t="shared" si="0"/>
        <v>1771180</v>
      </c>
      <c r="F5">
        <v>574</v>
      </c>
      <c r="G5" s="6">
        <f t="shared" si="1"/>
        <v>1549800</v>
      </c>
      <c r="H5">
        <v>1142</v>
      </c>
      <c r="I5" s="6">
        <f t="shared" si="2"/>
        <v>3471680</v>
      </c>
      <c r="J5">
        <v>15</v>
      </c>
      <c r="K5" s="6">
        <f t="shared" si="3"/>
        <v>30300</v>
      </c>
      <c r="L5" s="9">
        <v>8358127</v>
      </c>
      <c r="M5" s="21">
        <f t="shared" si="4"/>
        <v>8010720</v>
      </c>
      <c r="N5" s="3">
        <f t="shared" si="5"/>
        <v>-4.1565173632800746E-2</v>
      </c>
      <c r="O5" s="6">
        <f t="shared" si="6"/>
        <v>8107383.1899999995</v>
      </c>
      <c r="P5" s="10">
        <f t="shared" si="7"/>
        <v>8107383.1899999995</v>
      </c>
      <c r="Q5" s="3">
        <f t="shared" si="8"/>
        <v>-3.0000000000000061E-2</v>
      </c>
    </row>
    <row r="6" spans="1:17" x14ac:dyDescent="0.25">
      <c r="A6" s="5" t="s">
        <v>12</v>
      </c>
      <c r="B6">
        <v>98.5</v>
      </c>
      <c r="C6" s="6">
        <f t="shared" si="9"/>
        <v>198970</v>
      </c>
      <c r="D6">
        <v>163.5</v>
      </c>
      <c r="E6" s="6">
        <f t="shared" si="0"/>
        <v>385860</v>
      </c>
      <c r="F6">
        <v>132.5</v>
      </c>
      <c r="G6" s="6">
        <f t="shared" si="1"/>
        <v>357750</v>
      </c>
      <c r="H6">
        <v>235</v>
      </c>
      <c r="I6" s="6">
        <f t="shared" si="2"/>
        <v>714400</v>
      </c>
      <c r="J6">
        <v>3.5</v>
      </c>
      <c r="K6" s="6">
        <f t="shared" si="3"/>
        <v>7070</v>
      </c>
      <c r="L6" s="9">
        <v>1618343</v>
      </c>
      <c r="M6" s="21">
        <f t="shared" si="4"/>
        <v>1664050</v>
      </c>
      <c r="N6" s="3">
        <f t="shared" si="5"/>
        <v>2.8243085674668472E-2</v>
      </c>
      <c r="O6" s="6">
        <f t="shared" si="6"/>
        <v>1664050</v>
      </c>
      <c r="P6" s="10">
        <f t="shared" si="7"/>
        <v>1664050</v>
      </c>
      <c r="Q6" s="3">
        <f t="shared" si="8"/>
        <v>2.8243085674668472E-2</v>
      </c>
    </row>
    <row r="7" spans="1:17" x14ac:dyDescent="0.25">
      <c r="A7" s="5" t="s">
        <v>13</v>
      </c>
      <c r="B7">
        <v>1176.5</v>
      </c>
      <c r="C7" s="6">
        <f t="shared" si="9"/>
        <v>2376530</v>
      </c>
      <c r="D7">
        <v>1007.5</v>
      </c>
      <c r="E7" s="6">
        <f t="shared" si="0"/>
        <v>2377700</v>
      </c>
      <c r="F7">
        <v>1240.5</v>
      </c>
      <c r="G7" s="6">
        <f t="shared" si="1"/>
        <v>3349350</v>
      </c>
      <c r="H7">
        <v>1669</v>
      </c>
      <c r="I7" s="6">
        <f t="shared" si="2"/>
        <v>5073760</v>
      </c>
      <c r="J7">
        <v>11.5</v>
      </c>
      <c r="K7" s="6">
        <f t="shared" si="3"/>
        <v>23230</v>
      </c>
      <c r="L7" s="9">
        <v>13125938</v>
      </c>
      <c r="M7" s="21">
        <f t="shared" si="4"/>
        <v>13200570</v>
      </c>
      <c r="N7" s="3">
        <f t="shared" si="5"/>
        <v>5.6858412709247901E-3</v>
      </c>
      <c r="O7" s="6">
        <f t="shared" si="6"/>
        <v>13200570</v>
      </c>
      <c r="P7" s="10">
        <f t="shared" si="7"/>
        <v>13200570</v>
      </c>
      <c r="Q7" s="3">
        <f t="shared" si="8"/>
        <v>5.6858412709247901E-3</v>
      </c>
    </row>
    <row r="8" spans="1:17" x14ac:dyDescent="0.25">
      <c r="A8" s="5" t="s">
        <v>14</v>
      </c>
      <c r="B8">
        <v>298.5</v>
      </c>
      <c r="C8" s="6">
        <f t="shared" si="9"/>
        <v>602970</v>
      </c>
      <c r="D8">
        <v>278.5</v>
      </c>
      <c r="E8" s="6">
        <f t="shared" si="0"/>
        <v>657260</v>
      </c>
      <c r="F8">
        <v>355</v>
      </c>
      <c r="G8" s="6">
        <f t="shared" si="1"/>
        <v>958500</v>
      </c>
      <c r="H8">
        <v>676</v>
      </c>
      <c r="I8" s="6">
        <f t="shared" si="2"/>
        <v>2055040</v>
      </c>
      <c r="J8">
        <v>11</v>
      </c>
      <c r="K8" s="6">
        <f t="shared" si="3"/>
        <v>22220</v>
      </c>
      <c r="L8" s="9">
        <v>4579037</v>
      </c>
      <c r="M8" s="21">
        <f t="shared" si="4"/>
        <v>4295990</v>
      </c>
      <c r="N8" s="3">
        <f t="shared" si="5"/>
        <v>-6.181365208448851E-2</v>
      </c>
      <c r="O8" s="6">
        <f t="shared" si="6"/>
        <v>4441665.8899999997</v>
      </c>
      <c r="P8" s="10">
        <f t="shared" si="7"/>
        <v>4441665.8899999997</v>
      </c>
      <c r="Q8" s="3">
        <f t="shared" si="8"/>
        <v>-3.0000000000000072E-2</v>
      </c>
    </row>
    <row r="9" spans="1:17" x14ac:dyDescent="0.25">
      <c r="A9" s="5" t="s">
        <v>15</v>
      </c>
      <c r="B9">
        <v>64.5</v>
      </c>
      <c r="C9" s="6">
        <f t="shared" si="9"/>
        <v>130290</v>
      </c>
      <c r="D9">
        <v>112</v>
      </c>
      <c r="E9" s="6">
        <f t="shared" si="0"/>
        <v>264320</v>
      </c>
      <c r="F9">
        <v>110.5</v>
      </c>
      <c r="G9" s="6">
        <f t="shared" si="1"/>
        <v>298350</v>
      </c>
      <c r="H9">
        <v>210</v>
      </c>
      <c r="I9" s="6">
        <f t="shared" si="2"/>
        <v>638400</v>
      </c>
      <c r="J9">
        <v>2</v>
      </c>
      <c r="K9" s="6">
        <f t="shared" si="3"/>
        <v>4040</v>
      </c>
      <c r="L9" s="9">
        <v>1497559</v>
      </c>
      <c r="M9" s="21">
        <f t="shared" si="4"/>
        <v>1335400</v>
      </c>
      <c r="N9" s="3">
        <f t="shared" si="5"/>
        <v>-0.10828221125177706</v>
      </c>
      <c r="O9" s="6">
        <f t="shared" si="6"/>
        <v>1452632.23</v>
      </c>
      <c r="P9" s="10">
        <f t="shared" si="7"/>
        <v>1452632.23</v>
      </c>
      <c r="Q9" s="3">
        <f t="shared" si="8"/>
        <v>-3.0000000000000013E-2</v>
      </c>
    </row>
    <row r="10" spans="1:17" x14ac:dyDescent="0.25">
      <c r="A10" s="5" t="s">
        <v>16</v>
      </c>
      <c r="B10">
        <v>1454</v>
      </c>
      <c r="C10" s="6">
        <f t="shared" si="9"/>
        <v>2937080</v>
      </c>
      <c r="D10">
        <v>1385</v>
      </c>
      <c r="E10" s="6">
        <f t="shared" si="0"/>
        <v>3268600</v>
      </c>
      <c r="F10">
        <v>1627.5</v>
      </c>
      <c r="G10" s="6">
        <f t="shared" si="1"/>
        <v>4394250</v>
      </c>
      <c r="H10">
        <v>3397</v>
      </c>
      <c r="I10" s="6">
        <f t="shared" si="2"/>
        <v>10326880</v>
      </c>
      <c r="J10">
        <v>15.5</v>
      </c>
      <c r="K10" s="6">
        <f t="shared" si="3"/>
        <v>31310</v>
      </c>
      <c r="L10" s="9">
        <v>20913437</v>
      </c>
      <c r="M10" s="21">
        <f t="shared" si="4"/>
        <v>20958120</v>
      </c>
      <c r="N10" s="3">
        <f t="shared" si="5"/>
        <v>2.1365689436891699E-3</v>
      </c>
      <c r="O10" s="6">
        <f t="shared" si="6"/>
        <v>20958120</v>
      </c>
      <c r="P10" s="10">
        <f t="shared" si="7"/>
        <v>20958120</v>
      </c>
      <c r="Q10" s="3">
        <f t="shared" si="8"/>
        <v>2.1365689436891699E-3</v>
      </c>
    </row>
    <row r="11" spans="1:17" x14ac:dyDescent="0.25">
      <c r="A11" s="5" t="s">
        <v>17</v>
      </c>
      <c r="B11">
        <v>583.5</v>
      </c>
      <c r="C11" s="6">
        <f t="shared" si="9"/>
        <v>1178670</v>
      </c>
      <c r="D11">
        <v>766</v>
      </c>
      <c r="E11" s="6">
        <f t="shared" si="0"/>
        <v>1807760</v>
      </c>
      <c r="F11">
        <v>896.5</v>
      </c>
      <c r="G11" s="6">
        <f t="shared" si="1"/>
        <v>2420550</v>
      </c>
      <c r="H11">
        <v>1955.5</v>
      </c>
      <c r="I11" s="6">
        <f t="shared" si="2"/>
        <v>5944720</v>
      </c>
      <c r="J11">
        <v>31</v>
      </c>
      <c r="K11" s="6">
        <f t="shared" si="3"/>
        <v>62620</v>
      </c>
      <c r="L11" s="9">
        <v>10546316</v>
      </c>
      <c r="M11" s="21">
        <f t="shared" si="4"/>
        <v>11414320</v>
      </c>
      <c r="N11" s="3">
        <f t="shared" si="5"/>
        <v>8.2304000752490253E-2</v>
      </c>
      <c r="O11" s="6">
        <f t="shared" si="6"/>
        <v>11073631.800000001</v>
      </c>
      <c r="P11" s="10">
        <f t="shared" si="7"/>
        <v>11073631.800000001</v>
      </c>
      <c r="Q11" s="3">
        <f t="shared" si="8"/>
        <v>5.0000000000000072E-2</v>
      </c>
    </row>
    <row r="12" spans="1:17" x14ac:dyDescent="0.25">
      <c r="A12" s="5" t="s">
        <v>18</v>
      </c>
      <c r="B12">
        <v>587.5</v>
      </c>
      <c r="C12" s="6">
        <f t="shared" si="9"/>
        <v>1186750</v>
      </c>
      <c r="D12">
        <v>622</v>
      </c>
      <c r="E12" s="6">
        <f t="shared" si="0"/>
        <v>1467920</v>
      </c>
      <c r="F12">
        <v>675</v>
      </c>
      <c r="G12" s="6">
        <f t="shared" si="1"/>
        <v>1822500</v>
      </c>
      <c r="H12">
        <v>1517</v>
      </c>
      <c r="I12" s="6">
        <f t="shared" si="2"/>
        <v>4611680</v>
      </c>
      <c r="J12">
        <v>45</v>
      </c>
      <c r="K12" s="6">
        <f t="shared" si="3"/>
        <v>90900</v>
      </c>
      <c r="L12" s="9">
        <v>8941951</v>
      </c>
      <c r="M12" s="21">
        <f t="shared" si="4"/>
        <v>9179750</v>
      </c>
      <c r="N12" s="3">
        <f t="shared" si="5"/>
        <v>2.6593637115658542E-2</v>
      </c>
      <c r="O12" s="6">
        <f t="shared" si="6"/>
        <v>9179750</v>
      </c>
      <c r="P12" s="10">
        <f t="shared" si="7"/>
        <v>9179750</v>
      </c>
      <c r="Q12" s="3">
        <f t="shared" si="8"/>
        <v>2.6593637115658542E-2</v>
      </c>
    </row>
    <row r="13" spans="1:17" x14ac:dyDescent="0.25">
      <c r="A13" s="5" t="s">
        <v>19</v>
      </c>
      <c r="B13">
        <v>613.5</v>
      </c>
      <c r="C13" s="6">
        <f t="shared" si="9"/>
        <v>1239270</v>
      </c>
      <c r="D13">
        <v>755</v>
      </c>
      <c r="E13" s="6">
        <f t="shared" si="0"/>
        <v>1781800</v>
      </c>
      <c r="F13">
        <v>1062</v>
      </c>
      <c r="G13" s="6">
        <f t="shared" si="1"/>
        <v>2867400</v>
      </c>
      <c r="H13">
        <v>2028.5</v>
      </c>
      <c r="I13" s="6">
        <f t="shared" si="2"/>
        <v>6166640</v>
      </c>
      <c r="J13">
        <v>20</v>
      </c>
      <c r="K13" s="6">
        <f t="shared" si="3"/>
        <v>40400</v>
      </c>
      <c r="L13" s="9">
        <v>11286802</v>
      </c>
      <c r="M13" s="21">
        <f t="shared" si="4"/>
        <v>12095510</v>
      </c>
      <c r="N13" s="3">
        <f t="shared" si="5"/>
        <v>7.1650765203465069E-2</v>
      </c>
      <c r="O13" s="6">
        <f t="shared" si="6"/>
        <v>11851142.1</v>
      </c>
      <c r="P13" s="10">
        <f t="shared" si="7"/>
        <v>11851142.1</v>
      </c>
      <c r="Q13" s="3">
        <f t="shared" si="8"/>
        <v>4.9999999999999968E-2</v>
      </c>
    </row>
    <row r="14" spans="1:17" x14ac:dyDescent="0.25">
      <c r="A14" s="5" t="s">
        <v>20</v>
      </c>
      <c r="B14">
        <v>647</v>
      </c>
      <c r="C14" s="6">
        <f t="shared" si="9"/>
        <v>1306940</v>
      </c>
      <c r="D14">
        <v>572.5</v>
      </c>
      <c r="E14" s="6">
        <f t="shared" si="0"/>
        <v>1351100</v>
      </c>
      <c r="F14">
        <v>634.5</v>
      </c>
      <c r="G14" s="6">
        <f t="shared" si="1"/>
        <v>1713150</v>
      </c>
      <c r="H14">
        <v>1288.5</v>
      </c>
      <c r="I14" s="6">
        <f t="shared" si="2"/>
        <v>3917040</v>
      </c>
      <c r="J14">
        <v>10</v>
      </c>
      <c r="K14" s="6">
        <f t="shared" si="3"/>
        <v>20200</v>
      </c>
      <c r="L14" s="9">
        <v>7280013</v>
      </c>
      <c r="M14" s="21">
        <f t="shared" si="4"/>
        <v>8308430</v>
      </c>
      <c r="N14" s="3">
        <f t="shared" si="5"/>
        <v>0.14126581916818007</v>
      </c>
      <c r="O14" s="6">
        <f t="shared" si="6"/>
        <v>7644013.6500000004</v>
      </c>
      <c r="P14" s="10">
        <f t="shared" si="7"/>
        <v>7644013.6500000004</v>
      </c>
      <c r="Q14" s="3">
        <f t="shared" si="8"/>
        <v>5.0000000000000051E-2</v>
      </c>
    </row>
    <row r="15" spans="1:17" x14ac:dyDescent="0.25">
      <c r="A15" s="5" t="s">
        <v>21</v>
      </c>
      <c r="B15">
        <v>71.5</v>
      </c>
      <c r="C15" s="6">
        <f t="shared" si="9"/>
        <v>144430</v>
      </c>
      <c r="D15">
        <v>98</v>
      </c>
      <c r="E15" s="6">
        <f t="shared" si="0"/>
        <v>231280</v>
      </c>
      <c r="F15">
        <v>92.5</v>
      </c>
      <c r="G15" s="6">
        <f t="shared" si="1"/>
        <v>249750</v>
      </c>
      <c r="H15">
        <v>193.5</v>
      </c>
      <c r="I15" s="6">
        <f t="shared" si="2"/>
        <v>588240</v>
      </c>
      <c r="J15">
        <v>1</v>
      </c>
      <c r="K15" s="6">
        <f t="shared" si="3"/>
        <v>2020</v>
      </c>
      <c r="L15" s="9">
        <v>1310195</v>
      </c>
      <c r="M15" s="21">
        <f t="shared" si="4"/>
        <v>1215720</v>
      </c>
      <c r="N15" s="3">
        <f t="shared" si="5"/>
        <v>-7.2107587038570592E-2</v>
      </c>
      <c r="O15" s="6">
        <f t="shared" si="6"/>
        <v>1270889.1499999999</v>
      </c>
      <c r="P15" s="10">
        <f t="shared" si="7"/>
        <v>1270889.1499999999</v>
      </c>
      <c r="Q15" s="3">
        <f t="shared" si="8"/>
        <v>-3.0000000000000072E-2</v>
      </c>
    </row>
    <row r="16" spans="1:17" x14ac:dyDescent="0.25">
      <c r="B16" s="8"/>
      <c r="C16" s="6"/>
      <c r="E16" s="6"/>
      <c r="F16" s="8"/>
      <c r="G16" s="6"/>
      <c r="H16" s="8"/>
      <c r="I16" s="6"/>
      <c r="J16" s="8"/>
      <c r="K16" s="6"/>
      <c r="M16" s="21"/>
      <c r="N16" s="3"/>
      <c r="O16" s="8"/>
      <c r="P16" s="10"/>
      <c r="Q16" s="3"/>
    </row>
    <row r="17" spans="1:17" x14ac:dyDescent="0.25">
      <c r="A17" s="47" t="s">
        <v>22</v>
      </c>
      <c r="B17" s="8"/>
      <c r="C17" s="6"/>
      <c r="D17" s="11"/>
      <c r="E17" s="6"/>
      <c r="F17" s="8"/>
      <c r="G17" s="6"/>
      <c r="H17" s="8"/>
      <c r="I17" s="6"/>
      <c r="J17" s="8"/>
      <c r="K17" s="6"/>
      <c r="M17" s="21"/>
      <c r="N17" s="3">
        <f>AVERAGE(N18:N30)</f>
        <v>-7.7868741321047874E-2</v>
      </c>
      <c r="O17" s="8"/>
      <c r="P17" s="10"/>
      <c r="Q17" s="3"/>
    </row>
    <row r="18" spans="1:17" x14ac:dyDescent="0.25">
      <c r="A18" s="5" t="s">
        <v>23</v>
      </c>
      <c r="B18">
        <v>528.5</v>
      </c>
      <c r="C18" s="6">
        <f t="shared" si="9"/>
        <v>1067570</v>
      </c>
      <c r="D18">
        <v>603.5</v>
      </c>
      <c r="E18" s="6">
        <f t="shared" ref="E18:E30" si="10">D18*$C$52</f>
        <v>1424260</v>
      </c>
      <c r="F18">
        <v>3</v>
      </c>
      <c r="G18" s="12">
        <f t="shared" ref="G18" si="11">F18*$D$52</f>
        <v>8100</v>
      </c>
      <c r="I18" s="6"/>
      <c r="K18" s="6"/>
      <c r="L18" s="9">
        <v>3004148</v>
      </c>
      <c r="M18" s="21">
        <f t="shared" ref="M18:M30" si="12">SUM(K18+I18+G18+E18+C18)</f>
        <v>2499930</v>
      </c>
      <c r="N18" s="3">
        <f t="shared" ref="N18:N30" si="13">(M18-L18)/L18</f>
        <v>-0.1678405990650261</v>
      </c>
      <c r="O18" s="44">
        <f t="shared" ref="O18:O30" si="14">IF(N18&lt;-0.03,L18*0.97,IF(N18&gt;0.05,L18*1.05,M18))</f>
        <v>2914023.56</v>
      </c>
      <c r="P18" s="10">
        <f t="shared" ref="P18:P30" si="15">IF(O18=FALSE,M18,O18)</f>
        <v>2914023.56</v>
      </c>
      <c r="Q18" s="3">
        <f t="shared" ref="Q18:Q30" si="16">(P18-L18)/L18</f>
        <v>-2.9999999999999982E-2</v>
      </c>
    </row>
    <row r="19" spans="1:17" x14ac:dyDescent="0.25">
      <c r="A19" s="5" t="s">
        <v>24</v>
      </c>
      <c r="B19">
        <v>58.5</v>
      </c>
      <c r="C19" s="6">
        <f t="shared" si="9"/>
        <v>118170</v>
      </c>
      <c r="D19">
        <v>145</v>
      </c>
      <c r="E19" s="6">
        <f t="shared" si="10"/>
        <v>342200</v>
      </c>
      <c r="G19" s="12"/>
      <c r="I19" s="6"/>
      <c r="K19" s="6"/>
      <c r="L19" s="9">
        <v>476475</v>
      </c>
      <c r="M19" s="21">
        <f t="shared" si="12"/>
        <v>460370</v>
      </c>
      <c r="N19" s="3">
        <f t="shared" si="13"/>
        <v>-3.3800304318169896E-2</v>
      </c>
      <c r="O19" s="44">
        <f t="shared" si="14"/>
        <v>462180.75</v>
      </c>
      <c r="P19" s="10">
        <f t="shared" si="15"/>
        <v>462180.75</v>
      </c>
      <c r="Q19" s="3">
        <f t="shared" si="16"/>
        <v>-0.03</v>
      </c>
    </row>
    <row r="20" spans="1:17" x14ac:dyDescent="0.25">
      <c r="A20" s="5" t="s">
        <v>25</v>
      </c>
      <c r="B20">
        <v>737</v>
      </c>
      <c r="C20" s="6">
        <f t="shared" si="9"/>
        <v>1488740</v>
      </c>
      <c r="D20">
        <v>824.5</v>
      </c>
      <c r="E20" s="6">
        <f t="shared" si="10"/>
        <v>1945820</v>
      </c>
      <c r="G20" s="12"/>
      <c r="I20" s="6"/>
      <c r="K20" s="6"/>
      <c r="L20" s="9">
        <v>3851839</v>
      </c>
      <c r="M20" s="21">
        <f t="shared" si="12"/>
        <v>3434560</v>
      </c>
      <c r="N20" s="3">
        <f t="shared" si="13"/>
        <v>-0.10833240953217411</v>
      </c>
      <c r="O20" s="44">
        <f t="shared" si="14"/>
        <v>3736283.83</v>
      </c>
      <c r="P20" s="10">
        <f t="shared" si="15"/>
        <v>3736283.83</v>
      </c>
      <c r="Q20" s="3">
        <f t="shared" si="16"/>
        <v>-2.9999999999999982E-2</v>
      </c>
    </row>
    <row r="21" spans="1:17" x14ac:dyDescent="0.25">
      <c r="A21" s="5" t="s">
        <v>26</v>
      </c>
      <c r="B21">
        <v>1169.5</v>
      </c>
      <c r="C21" s="6">
        <f t="shared" si="9"/>
        <v>2362390</v>
      </c>
      <c r="D21">
        <v>1049</v>
      </c>
      <c r="E21" s="6">
        <f t="shared" si="10"/>
        <v>2475640</v>
      </c>
      <c r="G21" s="12"/>
      <c r="H21">
        <v>1.5</v>
      </c>
      <c r="I21" s="12">
        <f>H21*$E$52</f>
        <v>4560</v>
      </c>
      <c r="K21" s="6"/>
      <c r="L21" s="9">
        <v>5340274</v>
      </c>
      <c r="M21" s="21">
        <f t="shared" si="12"/>
        <v>4842590</v>
      </c>
      <c r="N21" s="3">
        <f t="shared" si="13"/>
        <v>-9.3194469047842857E-2</v>
      </c>
      <c r="O21" s="44">
        <f t="shared" si="14"/>
        <v>5180065.78</v>
      </c>
      <c r="P21" s="10">
        <f t="shared" si="15"/>
        <v>5180065.78</v>
      </c>
      <c r="Q21" s="3">
        <f t="shared" si="16"/>
        <v>-2.999999999999995E-2</v>
      </c>
    </row>
    <row r="22" spans="1:17" x14ac:dyDescent="0.25">
      <c r="A22" s="5" t="s">
        <v>27</v>
      </c>
      <c r="B22">
        <v>1706</v>
      </c>
      <c r="C22" s="6">
        <f t="shared" si="9"/>
        <v>3446120</v>
      </c>
      <c r="D22">
        <v>1904.5</v>
      </c>
      <c r="E22" s="6">
        <f t="shared" si="10"/>
        <v>4494620</v>
      </c>
      <c r="G22" s="12"/>
      <c r="I22" s="12"/>
      <c r="J22">
        <v>0.5</v>
      </c>
      <c r="K22" s="6">
        <f t="shared" si="3"/>
        <v>1010</v>
      </c>
      <c r="L22" s="9">
        <v>8960400</v>
      </c>
      <c r="M22" s="21">
        <f t="shared" si="12"/>
        <v>7941750</v>
      </c>
      <c r="N22" s="3">
        <f t="shared" si="13"/>
        <v>-0.11368354091335209</v>
      </c>
      <c r="O22" s="44">
        <f t="shared" si="14"/>
        <v>8691588</v>
      </c>
      <c r="P22" s="10">
        <f t="shared" si="15"/>
        <v>8691588</v>
      </c>
      <c r="Q22" s="3">
        <f t="shared" si="16"/>
        <v>-0.03</v>
      </c>
    </row>
    <row r="23" spans="1:17" x14ac:dyDescent="0.25">
      <c r="A23" s="5" t="s">
        <v>28</v>
      </c>
      <c r="B23">
        <v>94</v>
      </c>
      <c r="C23" s="6">
        <f t="shared" si="9"/>
        <v>189880</v>
      </c>
      <c r="D23">
        <v>150.5</v>
      </c>
      <c r="E23" s="6">
        <f t="shared" si="10"/>
        <v>355180</v>
      </c>
      <c r="G23" s="12"/>
      <c r="I23" s="12"/>
      <c r="K23" s="6"/>
      <c r="L23" s="9">
        <v>534912</v>
      </c>
      <c r="M23" s="21">
        <f t="shared" si="12"/>
        <v>545060</v>
      </c>
      <c r="N23" s="3">
        <f t="shared" si="13"/>
        <v>1.8971344819334768E-2</v>
      </c>
      <c r="O23" s="44">
        <f t="shared" si="14"/>
        <v>545060</v>
      </c>
      <c r="P23" s="10">
        <f t="shared" si="15"/>
        <v>545060</v>
      </c>
      <c r="Q23" s="3">
        <f t="shared" si="16"/>
        <v>1.8971344819334768E-2</v>
      </c>
    </row>
    <row r="24" spans="1:17" x14ac:dyDescent="0.25">
      <c r="A24" s="5" t="s">
        <v>29</v>
      </c>
      <c r="B24">
        <v>76.5</v>
      </c>
      <c r="C24" s="6">
        <f t="shared" si="9"/>
        <v>154530</v>
      </c>
      <c r="D24">
        <v>151.5</v>
      </c>
      <c r="E24" s="6">
        <f t="shared" si="10"/>
        <v>357540</v>
      </c>
      <c r="G24" s="12"/>
      <c r="I24" s="12"/>
      <c r="K24" s="6"/>
      <c r="L24" s="9">
        <v>657553</v>
      </c>
      <c r="M24" s="21">
        <f t="shared" si="12"/>
        <v>512070</v>
      </c>
      <c r="N24" s="3">
        <f t="shared" si="13"/>
        <v>-0.22124908562503706</v>
      </c>
      <c r="O24" s="44">
        <f t="shared" si="14"/>
        <v>637826.41</v>
      </c>
      <c r="P24" s="10">
        <f t="shared" si="15"/>
        <v>637826.41</v>
      </c>
      <c r="Q24" s="3">
        <f t="shared" si="16"/>
        <v>-2.999999999999995E-2</v>
      </c>
    </row>
    <row r="25" spans="1:17" x14ac:dyDescent="0.25">
      <c r="A25" s="5" t="s">
        <v>30</v>
      </c>
      <c r="B25">
        <v>127.5</v>
      </c>
      <c r="C25" s="6">
        <f t="shared" si="9"/>
        <v>257550</v>
      </c>
      <c r="D25">
        <v>227</v>
      </c>
      <c r="E25" s="6">
        <f t="shared" si="10"/>
        <v>535720</v>
      </c>
      <c r="G25" s="12"/>
      <c r="I25" s="12"/>
      <c r="K25" s="6"/>
      <c r="L25" s="9">
        <v>866153</v>
      </c>
      <c r="M25" s="21">
        <f t="shared" si="12"/>
        <v>793270</v>
      </c>
      <c r="N25" s="3">
        <f t="shared" si="13"/>
        <v>-8.4145641705333812E-2</v>
      </c>
      <c r="O25" s="44">
        <f t="shared" si="14"/>
        <v>840168.41</v>
      </c>
      <c r="P25" s="10">
        <f t="shared" si="15"/>
        <v>840168.41</v>
      </c>
      <c r="Q25" s="3">
        <f t="shared" si="16"/>
        <v>-2.9999999999999961E-2</v>
      </c>
    </row>
    <row r="26" spans="1:17" x14ac:dyDescent="0.25">
      <c r="A26" s="5" t="s">
        <v>31</v>
      </c>
      <c r="B26">
        <v>146</v>
      </c>
      <c r="C26" s="6">
        <f t="shared" si="9"/>
        <v>294920</v>
      </c>
      <c r="D26">
        <v>309.5</v>
      </c>
      <c r="E26" s="6">
        <f t="shared" si="10"/>
        <v>730420</v>
      </c>
      <c r="G26" s="12"/>
      <c r="I26" s="12"/>
      <c r="K26" s="6"/>
      <c r="L26" s="9">
        <v>1026685</v>
      </c>
      <c r="M26" s="21">
        <f t="shared" si="12"/>
        <v>1025340</v>
      </c>
      <c r="N26" s="3">
        <f t="shared" si="13"/>
        <v>-1.3100415414659804E-3</v>
      </c>
      <c r="O26" s="44">
        <f t="shared" si="14"/>
        <v>1025340</v>
      </c>
      <c r="P26" s="10">
        <f t="shared" si="15"/>
        <v>1025340</v>
      </c>
      <c r="Q26" s="3">
        <f t="shared" si="16"/>
        <v>-1.3100415414659804E-3</v>
      </c>
    </row>
    <row r="27" spans="1:17" x14ac:dyDescent="0.25">
      <c r="A27" s="5" t="s">
        <v>32</v>
      </c>
      <c r="B27">
        <v>1970</v>
      </c>
      <c r="C27" s="6">
        <f t="shared" si="9"/>
        <v>3979400</v>
      </c>
      <c r="D27">
        <v>2652.5</v>
      </c>
      <c r="E27" s="6">
        <f t="shared" si="10"/>
        <v>6259900</v>
      </c>
      <c r="F27">
        <v>2</v>
      </c>
      <c r="G27" s="12">
        <f>F27*$D$52</f>
        <v>5400</v>
      </c>
      <c r="H27">
        <v>2</v>
      </c>
      <c r="I27" s="12"/>
      <c r="K27" s="6"/>
      <c r="L27" s="9">
        <v>9993071</v>
      </c>
      <c r="M27" s="21">
        <f t="shared" si="12"/>
        <v>10244700</v>
      </c>
      <c r="N27" s="3">
        <f t="shared" si="13"/>
        <v>2.5180347462756943E-2</v>
      </c>
      <c r="O27" s="44">
        <f t="shared" si="14"/>
        <v>10244700</v>
      </c>
      <c r="P27" s="10">
        <f t="shared" si="15"/>
        <v>10244700</v>
      </c>
      <c r="Q27" s="3">
        <f t="shared" si="16"/>
        <v>2.5180347462756943E-2</v>
      </c>
    </row>
    <row r="28" spans="1:17" x14ac:dyDescent="0.25">
      <c r="A28" s="5" t="s">
        <v>33</v>
      </c>
      <c r="B28">
        <v>869.5</v>
      </c>
      <c r="C28" s="6">
        <f t="shared" si="9"/>
        <v>1756390</v>
      </c>
      <c r="D28">
        <v>1000.5</v>
      </c>
      <c r="E28" s="6">
        <f t="shared" si="10"/>
        <v>2361180</v>
      </c>
      <c r="G28" s="12"/>
      <c r="H28">
        <v>7.5</v>
      </c>
      <c r="I28" s="12">
        <f t="shared" ref="I28:I29" si="17">H28*$E$52</f>
        <v>22800</v>
      </c>
      <c r="J28">
        <v>1</v>
      </c>
      <c r="K28" s="6">
        <f t="shared" si="3"/>
        <v>2020</v>
      </c>
      <c r="L28" s="9">
        <v>4756617</v>
      </c>
      <c r="M28" s="21">
        <f t="shared" si="12"/>
        <v>4142390</v>
      </c>
      <c r="N28" s="3">
        <f t="shared" si="13"/>
        <v>-0.12913106100407076</v>
      </c>
      <c r="O28" s="44">
        <f t="shared" si="14"/>
        <v>4613918.49</v>
      </c>
      <c r="P28" s="10">
        <f t="shared" si="15"/>
        <v>4613918.49</v>
      </c>
      <c r="Q28" s="3">
        <f t="shared" si="16"/>
        <v>-2.9999999999999954E-2</v>
      </c>
    </row>
    <row r="29" spans="1:17" x14ac:dyDescent="0.25">
      <c r="A29" s="5" t="s">
        <v>34</v>
      </c>
      <c r="B29">
        <v>692.5</v>
      </c>
      <c r="C29" s="6">
        <f t="shared" si="9"/>
        <v>1398850</v>
      </c>
      <c r="D29">
        <v>871.5</v>
      </c>
      <c r="E29" s="6">
        <f t="shared" si="10"/>
        <v>2056740</v>
      </c>
      <c r="F29">
        <v>1</v>
      </c>
      <c r="G29" s="12">
        <f t="shared" ref="G29" si="18">F29*$D$52</f>
        <v>2700</v>
      </c>
      <c r="H29">
        <v>2</v>
      </c>
      <c r="I29" s="12">
        <f t="shared" si="17"/>
        <v>6080</v>
      </c>
      <c r="J29">
        <v>1</v>
      </c>
      <c r="K29" s="6">
        <f t="shared" si="3"/>
        <v>2020</v>
      </c>
      <c r="L29" s="9">
        <v>3816273</v>
      </c>
      <c r="M29" s="21">
        <f t="shared" si="12"/>
        <v>3466390</v>
      </c>
      <c r="N29" s="3">
        <f t="shared" si="13"/>
        <v>-9.1681858189914617E-2</v>
      </c>
      <c r="O29" s="44">
        <f t="shared" si="14"/>
        <v>3701784.81</v>
      </c>
      <c r="P29" s="10">
        <f t="shared" si="15"/>
        <v>3701784.81</v>
      </c>
      <c r="Q29" s="3">
        <f t="shared" si="16"/>
        <v>-2.9999999999999985E-2</v>
      </c>
    </row>
    <row r="30" spans="1:17" x14ac:dyDescent="0.25">
      <c r="A30" s="5" t="s">
        <v>35</v>
      </c>
      <c r="B30">
        <v>135.5</v>
      </c>
      <c r="C30" s="6">
        <f t="shared" si="9"/>
        <v>273710</v>
      </c>
      <c r="D30">
        <v>375</v>
      </c>
      <c r="E30" s="6">
        <f t="shared" si="10"/>
        <v>885000</v>
      </c>
      <c r="G30" s="6"/>
      <c r="I30" s="6"/>
      <c r="K30" s="6"/>
      <c r="L30" s="9">
        <v>1172874</v>
      </c>
      <c r="M30" s="21">
        <f t="shared" si="12"/>
        <v>1158710</v>
      </c>
      <c r="N30" s="3">
        <f t="shared" si="13"/>
        <v>-1.2076318513327092E-2</v>
      </c>
      <c r="O30" s="44">
        <f t="shared" si="14"/>
        <v>1158710</v>
      </c>
      <c r="P30" s="10">
        <f t="shared" si="15"/>
        <v>1158710</v>
      </c>
      <c r="Q30" s="3">
        <f t="shared" si="16"/>
        <v>-1.2076318513327092E-2</v>
      </c>
    </row>
    <row r="31" spans="1:17" x14ac:dyDescent="0.25">
      <c r="B31" s="8"/>
      <c r="C31" s="6"/>
      <c r="E31" s="6"/>
      <c r="F31" s="8"/>
      <c r="G31" s="6"/>
      <c r="H31" s="8"/>
      <c r="I31" s="6"/>
      <c r="J31" s="8"/>
      <c r="K31" s="6"/>
      <c r="M31" s="21"/>
      <c r="N31" s="3"/>
      <c r="O31" s="8"/>
      <c r="P31" s="10"/>
      <c r="Q31" s="3"/>
    </row>
    <row r="32" spans="1:17" x14ac:dyDescent="0.25">
      <c r="A32" s="47" t="s">
        <v>36</v>
      </c>
      <c r="B32" s="8"/>
      <c r="C32" s="6"/>
      <c r="E32" s="6"/>
      <c r="F32" s="8"/>
      <c r="G32" s="6"/>
      <c r="H32" s="8"/>
      <c r="I32" s="6"/>
      <c r="J32" s="8"/>
      <c r="K32" s="6"/>
      <c r="M32" s="21"/>
      <c r="N32" s="3"/>
      <c r="O32" s="8"/>
      <c r="P32" s="10"/>
      <c r="Q32" s="3"/>
    </row>
    <row r="33" spans="1:17" x14ac:dyDescent="0.25">
      <c r="A33" s="5" t="s">
        <v>37</v>
      </c>
      <c r="B33">
        <v>785.5</v>
      </c>
      <c r="C33" s="6">
        <f>B33*$B$52</f>
        <v>1586710</v>
      </c>
      <c r="D33">
        <v>1007</v>
      </c>
      <c r="E33" s="6">
        <f>D33*$C$52</f>
        <v>2376520</v>
      </c>
      <c r="F33" s="8"/>
      <c r="G33" s="6"/>
      <c r="H33" s="8"/>
      <c r="I33" s="6"/>
      <c r="J33" s="8"/>
      <c r="K33" s="6"/>
      <c r="L33" s="9">
        <v>3621278</v>
      </c>
      <c r="M33" s="21">
        <f>SUM(K33+I33+G33+E33+C33)</f>
        <v>3963230</v>
      </c>
      <c r="N33" s="3">
        <f>(M33-L33)/L33</f>
        <v>9.4428541525947471E-2</v>
      </c>
      <c r="O33" s="6">
        <f>IF(N33&lt;-0.03,L33*0.97,IF(N33&gt;0.05,L33*1.05,M33))</f>
        <v>3802341.9000000004</v>
      </c>
      <c r="P33" s="10">
        <f>IF(O33=FALSE,M33,O33)</f>
        <v>3802341.9000000004</v>
      </c>
      <c r="Q33" s="3">
        <f>(P33-L33)/L33</f>
        <v>5.00000000000001E-2</v>
      </c>
    </row>
    <row r="34" spans="1:17" x14ac:dyDescent="0.25">
      <c r="A34" s="5" t="s">
        <v>38</v>
      </c>
      <c r="B34">
        <v>574</v>
      </c>
      <c r="C34" s="6">
        <f>B34*$B$52</f>
        <v>1159480</v>
      </c>
      <c r="D34">
        <v>404</v>
      </c>
      <c r="E34" s="6">
        <f>D34*$C$52</f>
        <v>953440</v>
      </c>
      <c r="F34" s="8">
        <v>14</v>
      </c>
      <c r="G34" s="6">
        <f>F34*$D$52</f>
        <v>37800</v>
      </c>
      <c r="H34" s="8">
        <v>0</v>
      </c>
      <c r="I34" s="6">
        <f>H34*$E$52</f>
        <v>0</v>
      </c>
      <c r="J34" s="8"/>
      <c r="K34" s="6"/>
      <c r="L34" s="9">
        <v>2203668</v>
      </c>
      <c r="M34" s="21">
        <f>SUM(K34+I34+G34+E34+C34)</f>
        <v>2150720</v>
      </c>
      <c r="N34" s="3">
        <f>(M34-L34)/L34</f>
        <v>-2.4027212810641168E-2</v>
      </c>
      <c r="O34" s="6">
        <f>IF(N34&lt;-0.03,L34*0.97,IF(N34&gt;0.05,L34*1.05,M34))</f>
        <v>2150720</v>
      </c>
      <c r="P34" s="10">
        <f>IF(O34=FALSE,M34,O34)</f>
        <v>2150720</v>
      </c>
      <c r="Q34" s="3">
        <f>(P34-L34)/L34</f>
        <v>-2.4027212810641168E-2</v>
      </c>
    </row>
    <row r="35" spans="1:17" x14ac:dyDescent="0.25">
      <c r="B35" s="8"/>
      <c r="C35" s="6"/>
      <c r="E35" s="6"/>
      <c r="F35" s="8"/>
      <c r="G35" s="6"/>
      <c r="H35" s="8"/>
      <c r="I35" s="6"/>
      <c r="J35" s="8"/>
      <c r="K35" s="6"/>
      <c r="M35" s="21"/>
      <c r="N35" s="3"/>
      <c r="O35" s="8"/>
      <c r="P35" s="10"/>
      <c r="Q35" s="3"/>
    </row>
    <row r="36" spans="1:17" x14ac:dyDescent="0.25">
      <c r="A36" s="47" t="s">
        <v>39</v>
      </c>
      <c r="B36" s="8"/>
      <c r="C36" s="6"/>
      <c r="D36" s="11"/>
      <c r="E36" s="6"/>
      <c r="F36" s="8"/>
      <c r="G36" s="6"/>
      <c r="H36" s="8"/>
      <c r="I36" s="6"/>
      <c r="J36" s="8"/>
      <c r="K36" s="6"/>
      <c r="M36" s="21"/>
      <c r="N36" s="3"/>
      <c r="O36" s="8"/>
      <c r="P36" s="10"/>
      <c r="Q36" s="3"/>
    </row>
    <row r="37" spans="1:17" x14ac:dyDescent="0.25">
      <c r="A37" s="5" t="s">
        <v>40</v>
      </c>
      <c r="B37">
        <v>186.5</v>
      </c>
      <c r="C37" s="6">
        <f>B37*$B$52</f>
        <v>376730</v>
      </c>
      <c r="D37">
        <v>234</v>
      </c>
      <c r="E37" s="6">
        <f>D37*$C$52</f>
        <v>552240</v>
      </c>
      <c r="F37" s="13">
        <v>218.5</v>
      </c>
      <c r="G37" s="6">
        <f>F37*$D$52</f>
        <v>589950</v>
      </c>
      <c r="H37">
        <v>274</v>
      </c>
      <c r="I37" s="6">
        <f>H37*$E$52</f>
        <v>832960</v>
      </c>
      <c r="J37" s="8"/>
      <c r="K37" s="6"/>
      <c r="L37" s="9">
        <v>2167621</v>
      </c>
      <c r="M37" s="21">
        <f>SUM(K37+I37+G37+E37+C37)</f>
        <v>2351880</v>
      </c>
      <c r="N37" s="3">
        <f>(M37-L37)/L37</f>
        <v>8.5005173874953238E-2</v>
      </c>
      <c r="O37" s="6">
        <f>IF(N37&lt;-0.03,L37*0.97,IF(N37&gt;0.05,L37*1.05,M37))</f>
        <v>2276002.0500000003</v>
      </c>
      <c r="P37" s="10">
        <f>IF(O37=FALSE,M37,O37)</f>
        <v>2276002.0500000003</v>
      </c>
      <c r="Q37" s="3">
        <f>(P37-L37)/L37</f>
        <v>5.0000000000000128E-2</v>
      </c>
    </row>
    <row r="38" spans="1:17" x14ac:dyDescent="0.25">
      <c r="A38" s="5" t="s">
        <v>41</v>
      </c>
      <c r="B38">
        <v>12</v>
      </c>
      <c r="C38" s="6">
        <f>B38*$B$52</f>
        <v>24240</v>
      </c>
      <c r="D38">
        <v>13.5</v>
      </c>
      <c r="E38" s="6">
        <f>D38*$C$52</f>
        <v>31860</v>
      </c>
      <c r="F38" s="8">
        <v>13</v>
      </c>
      <c r="G38" s="6">
        <f>F38*$D$52</f>
        <v>35100</v>
      </c>
      <c r="H38">
        <v>18.5</v>
      </c>
      <c r="I38" s="6">
        <f>H38*$E$52</f>
        <v>56240</v>
      </c>
      <c r="J38" s="8"/>
      <c r="K38" s="6"/>
      <c r="L38" s="9">
        <v>158879</v>
      </c>
      <c r="M38" s="21">
        <f>SUM(K38+I38+G38+E38+C38)</f>
        <v>147440</v>
      </c>
      <c r="N38" s="3">
        <f>(M38-L38)/L38</f>
        <v>-7.1998187299769006E-2</v>
      </c>
      <c r="O38" s="6">
        <f>IF(N38&lt;-0.03,L38*0.97,IF(N38&gt;0.05,L38*1.05,M38))</f>
        <v>154112.63</v>
      </c>
      <c r="P38" s="10">
        <f>IF(O38=FALSE,M38,O38)</f>
        <v>154112.63</v>
      </c>
      <c r="Q38" s="3">
        <f>(P38-L38)/L38</f>
        <v>-2.9999999999999971E-2</v>
      </c>
    </row>
    <row r="39" spans="1:17" x14ac:dyDescent="0.25">
      <c r="A39" s="5" t="s">
        <v>42</v>
      </c>
      <c r="B39">
        <v>30</v>
      </c>
      <c r="C39" s="6">
        <f>B39*$B$52</f>
        <v>60600</v>
      </c>
      <c r="D39">
        <v>23</v>
      </c>
      <c r="E39" s="6">
        <f>D39*$C$52</f>
        <v>54280</v>
      </c>
      <c r="F39" s="8">
        <v>35</v>
      </c>
      <c r="G39" s="6">
        <f>F39*$D$52</f>
        <v>94500</v>
      </c>
      <c r="H39">
        <v>26</v>
      </c>
      <c r="I39" s="6">
        <f>H39*$E$52</f>
        <v>79040</v>
      </c>
      <c r="J39" s="8"/>
      <c r="K39" s="6"/>
      <c r="L39" s="9">
        <v>126850</v>
      </c>
      <c r="M39" s="21">
        <f>SUM(K39+I39+G39+E39+C39)</f>
        <v>288420</v>
      </c>
      <c r="N39" s="3">
        <f>(M39-L39)/L39</f>
        <v>1.2737091052424123</v>
      </c>
      <c r="O39" s="6">
        <f>IF(N39&lt;-0.03,L39*0.97,IF(N39&gt;0.05,L39*1.05,M39))</f>
        <v>133192.5</v>
      </c>
      <c r="P39" s="10">
        <f>IF(O39=FALSE,M39,O39)</f>
        <v>133192.5</v>
      </c>
      <c r="Q39" s="3">
        <f>(P39-L39)/L39</f>
        <v>0.05</v>
      </c>
    </row>
    <row r="40" spans="1:17" x14ac:dyDescent="0.25">
      <c r="A40" s="5" t="s">
        <v>43</v>
      </c>
      <c r="B40">
        <v>147.5</v>
      </c>
      <c r="C40" s="6">
        <f>B40*$B$52</f>
        <v>297950</v>
      </c>
      <c r="D40">
        <v>125.5</v>
      </c>
      <c r="E40" s="6">
        <f>D40*$C$52</f>
        <v>296180</v>
      </c>
      <c r="F40" s="13">
        <v>180.5</v>
      </c>
      <c r="G40" s="6">
        <f>F40*$D$52</f>
        <v>487350</v>
      </c>
      <c r="H40">
        <v>313</v>
      </c>
      <c r="I40" s="6">
        <f>H40*$E$52</f>
        <v>951520</v>
      </c>
      <c r="J40" s="13">
        <v>2.5</v>
      </c>
      <c r="K40" s="6">
        <f>J40*$B$52</f>
        <v>5050</v>
      </c>
      <c r="L40" s="9">
        <v>2410209</v>
      </c>
      <c r="M40" s="21">
        <f>SUM(K40+I40+G40+E40+C40)</f>
        <v>2038050</v>
      </c>
      <c r="N40" s="3">
        <f>(M40-L40)/L40</f>
        <v>-0.15440943088337983</v>
      </c>
      <c r="O40" s="6">
        <f>IF(N40&lt;-0.03,L40*0.97,IF(N40&gt;0.05,L40*1.05,M40))</f>
        <v>2337902.73</v>
      </c>
      <c r="P40" s="10">
        <f>IF(O40=FALSE,M40,O40)</f>
        <v>2337902.73</v>
      </c>
      <c r="Q40" s="3">
        <f>(P40-L40)/L40</f>
        <v>-3.0000000000000009E-2</v>
      </c>
    </row>
    <row r="41" spans="1:17" x14ac:dyDescent="0.25">
      <c r="A41" s="5" t="s">
        <v>44</v>
      </c>
      <c r="B41">
        <v>48</v>
      </c>
      <c r="C41" s="6">
        <f>B41*$B$52</f>
        <v>96960</v>
      </c>
      <c r="D41">
        <v>135</v>
      </c>
      <c r="E41" s="6">
        <f>D41*$C$52</f>
        <v>318600</v>
      </c>
      <c r="F41" s="8">
        <v>125</v>
      </c>
      <c r="G41" s="6">
        <f>F41*$D$52</f>
        <v>337500</v>
      </c>
      <c r="H41">
        <v>250</v>
      </c>
      <c r="I41" s="6">
        <f>H41*$E$52</f>
        <v>760000</v>
      </c>
      <c r="J41" s="8"/>
      <c r="K41" s="6"/>
      <c r="L41" s="9">
        <v>1460713</v>
      </c>
      <c r="M41" s="21">
        <f>SUM(K41+I41+G41+E41+C41)</f>
        <v>1513060</v>
      </c>
      <c r="N41" s="3">
        <f>(M41-L41)/L41</f>
        <v>3.5836608560340051E-2</v>
      </c>
      <c r="O41" s="6">
        <f>IF(N41&lt;-0.03,L41*0.97,IF(N41&gt;0.05,L41*1.05,M41))</f>
        <v>1513060</v>
      </c>
      <c r="P41" s="10">
        <f>IF(O41=FALSE,M41,O41)</f>
        <v>1513060</v>
      </c>
      <c r="Q41" s="3">
        <f>(P41-L41)/L41</f>
        <v>3.5836608560340051E-2</v>
      </c>
    </row>
    <row r="42" spans="1:17" x14ac:dyDescent="0.25">
      <c r="B42" s="8"/>
      <c r="C42" s="6"/>
      <c r="E42" s="6"/>
      <c r="F42" s="8"/>
      <c r="G42" s="6"/>
      <c r="I42" s="6"/>
      <c r="J42" s="8"/>
      <c r="K42" s="6"/>
      <c r="M42" s="21"/>
      <c r="N42" s="3"/>
      <c r="O42" s="8"/>
      <c r="P42" s="10"/>
      <c r="Q42" s="3"/>
    </row>
    <row r="43" spans="1:17" x14ac:dyDescent="0.25">
      <c r="A43" s="47" t="s">
        <v>45</v>
      </c>
      <c r="B43" s="8"/>
      <c r="C43" s="6"/>
      <c r="E43" s="6"/>
      <c r="F43" s="8"/>
      <c r="G43" s="6"/>
      <c r="I43" s="6"/>
      <c r="J43" s="8"/>
      <c r="K43" s="6"/>
      <c r="M43" s="21"/>
      <c r="N43" s="3"/>
      <c r="O43" s="8"/>
      <c r="P43" s="10"/>
      <c r="Q43" s="3"/>
    </row>
    <row r="44" spans="1:17" x14ac:dyDescent="0.25">
      <c r="A44" s="5" t="s">
        <v>46</v>
      </c>
      <c r="B44">
        <v>32.5</v>
      </c>
      <c r="C44" s="6">
        <f>B44*$B$52</f>
        <v>65650</v>
      </c>
      <c r="D44">
        <v>24</v>
      </c>
      <c r="E44" s="6">
        <f t="shared" ref="E44:E45" si="19">D44*$C$52</f>
        <v>56640</v>
      </c>
      <c r="F44" s="8"/>
      <c r="G44" s="6"/>
      <c r="I44" s="6"/>
      <c r="J44" s="8"/>
      <c r="K44" s="6"/>
      <c r="L44" s="9">
        <v>151048</v>
      </c>
      <c r="M44" s="21">
        <f>SUM(K44+I44+G44+E44+C44)</f>
        <v>122290</v>
      </c>
      <c r="N44" s="3">
        <f>(M44-L44)/L44</f>
        <v>-0.19038980986176579</v>
      </c>
      <c r="O44" s="6">
        <f>IF(N44&lt;-0.03,L44*0.97,IF(N44&gt;0.05,L44*1.05,M44))</f>
        <v>146516.56</v>
      </c>
      <c r="P44" s="10">
        <f>IF(O44=FALSE,M44,O44)</f>
        <v>146516.56</v>
      </c>
      <c r="Q44" s="3">
        <f>(P44-L44)/L44</f>
        <v>-3.0000000000000016E-2</v>
      </c>
    </row>
    <row r="45" spans="1:17" x14ac:dyDescent="0.25">
      <c r="A45" s="5" t="s">
        <v>47</v>
      </c>
      <c r="B45">
        <v>490</v>
      </c>
      <c r="C45" s="6">
        <f>B45*$B$52</f>
        <v>989800</v>
      </c>
      <c r="E45" s="6">
        <f t="shared" si="19"/>
        <v>0</v>
      </c>
      <c r="F45" s="8"/>
      <c r="G45" s="6"/>
      <c r="I45" s="6"/>
      <c r="J45" s="8"/>
      <c r="K45" s="6"/>
      <c r="L45" s="9">
        <v>717977</v>
      </c>
      <c r="M45" s="21">
        <f>SUM(K45+I45+G45+E45+C45)</f>
        <v>989800</v>
      </c>
      <c r="N45" s="3">
        <f>(M45-L45)/L45</f>
        <v>0.37859569317680092</v>
      </c>
      <c r="O45" s="6">
        <f>IF(N45&lt;-0.03,L45*0.97,IF(N45&gt;0.05,L45*1.05,M45))</f>
        <v>753875.85</v>
      </c>
      <c r="P45" s="10">
        <f>IF(O45=FALSE,M45,O45)</f>
        <v>753875.85</v>
      </c>
      <c r="Q45" s="3">
        <f>(P45-L45)/L45</f>
        <v>4.9999999999999968E-2</v>
      </c>
    </row>
    <row r="46" spans="1:17" x14ac:dyDescent="0.25">
      <c r="A46" s="5" t="s">
        <v>48</v>
      </c>
      <c r="B46">
        <v>110</v>
      </c>
      <c r="C46" s="6">
        <f>B46*$B$52</f>
        <v>222200</v>
      </c>
      <c r="D46" s="4">
        <v>93.5</v>
      </c>
      <c r="E46" s="10">
        <f>D46*$B$52</f>
        <v>188870</v>
      </c>
      <c r="F46" s="14"/>
      <c r="G46" s="10"/>
      <c r="H46" s="4">
        <v>2</v>
      </c>
      <c r="I46" s="10">
        <f>H46*$B$52</f>
        <v>4040</v>
      </c>
      <c r="J46" s="8">
        <v>1</v>
      </c>
      <c r="K46" s="6">
        <f t="shared" ref="K46" si="20">J46*$B$52</f>
        <v>2020</v>
      </c>
      <c r="L46" s="9">
        <v>542250</v>
      </c>
      <c r="M46" s="21">
        <f>SUM(K46+I46+G46+E46+C46)</f>
        <v>417130</v>
      </c>
      <c r="N46" s="3">
        <f>(M46-L46)/L46</f>
        <v>-0.23074227754725679</v>
      </c>
      <c r="O46" s="6">
        <f>IF(N46&lt;-0.03,L46*0.97,IF(N46&gt;0.05,L46*1.05,M46))</f>
        <v>525982.5</v>
      </c>
      <c r="P46" s="10">
        <f>IF(O46=FALSE,M46,O46)</f>
        <v>525982.5</v>
      </c>
      <c r="Q46" s="3">
        <f>(P46-L46)/L46</f>
        <v>-0.03</v>
      </c>
    </row>
    <row r="47" spans="1:17" x14ac:dyDescent="0.25">
      <c r="A47" s="5"/>
      <c r="C47" s="6"/>
      <c r="D47" s="4"/>
      <c r="E47" s="10"/>
      <c r="F47" s="14"/>
      <c r="G47" s="10"/>
      <c r="H47" s="4"/>
      <c r="I47" s="10"/>
      <c r="J47" s="8"/>
      <c r="K47" s="6"/>
      <c r="L47" s="9"/>
      <c r="M47" s="21"/>
      <c r="N47" s="3"/>
      <c r="O47" s="6"/>
      <c r="P47" s="10"/>
      <c r="Q47" s="3"/>
    </row>
    <row r="48" spans="1:17" ht="18.75" x14ac:dyDescent="0.3">
      <c r="A48" s="48" t="s">
        <v>49</v>
      </c>
      <c r="B48" s="15">
        <f>SUM(B4:B46)</f>
        <v>17117.5</v>
      </c>
      <c r="C48" s="16">
        <f>SUM(C4:C46)</f>
        <v>34577350</v>
      </c>
      <c r="D48" s="15">
        <f>SUM(D4:D46)</f>
        <v>18981.5</v>
      </c>
      <c r="E48" s="16">
        <f>SUM(E4:E46)</f>
        <v>44764550</v>
      </c>
      <c r="F48" s="17">
        <f>SUM(F4:F41)</f>
        <v>8118</v>
      </c>
      <c r="G48" s="16">
        <f>SUM(G4:G41)</f>
        <v>21918600</v>
      </c>
      <c r="H48" s="15">
        <f>SUM(H4:H41)</f>
        <v>15466</v>
      </c>
      <c r="I48" s="16">
        <f>SUM(I4:I46)</f>
        <v>47014600</v>
      </c>
      <c r="J48" s="17">
        <f>SUM(J4:J41)</f>
        <v>174.5</v>
      </c>
      <c r="K48" s="16">
        <f>SUM(K4:K46)</f>
        <v>354510</v>
      </c>
      <c r="L48" s="16">
        <f>SUM(L4:L46)</f>
        <v>149735303</v>
      </c>
      <c r="M48" s="42">
        <f>SUM(K48+I48+G48+E48+C48)</f>
        <v>148629610</v>
      </c>
      <c r="N48" s="18">
        <f>(M48-L48)/L48</f>
        <v>-7.3843173777128563E-3</v>
      </c>
      <c r="O48" s="50">
        <f>SUM(O4:O46)</f>
        <v>150581228.22999999</v>
      </c>
      <c r="P48" s="19">
        <f>SUM(P4:P46)</f>
        <v>150581228.22999999</v>
      </c>
      <c r="Q48" s="18">
        <f>(P48-L48)/L48</f>
        <v>5.6494708532428672E-3</v>
      </c>
    </row>
    <row r="49" spans="1:16" x14ac:dyDescent="0.25">
      <c r="A49" s="5"/>
      <c r="M49" s="7"/>
    </row>
    <row r="50" spans="1:16" x14ac:dyDescent="0.25">
      <c r="L50" s="20"/>
      <c r="P50" s="45" t="e">
        <f>#REF!</f>
        <v>#REF!</v>
      </c>
    </row>
    <row r="51" spans="1:16" x14ac:dyDescent="0.25">
      <c r="A51" s="5" t="s">
        <v>50</v>
      </c>
      <c r="B51" t="s">
        <v>51</v>
      </c>
      <c r="C51" t="s">
        <v>52</v>
      </c>
      <c r="D51" t="s">
        <v>53</v>
      </c>
      <c r="E51" t="s">
        <v>54</v>
      </c>
      <c r="L51" s="6"/>
      <c r="P51" s="46" t="s">
        <v>58</v>
      </c>
    </row>
    <row r="52" spans="1:16" x14ac:dyDescent="0.25">
      <c r="A52">
        <v>340</v>
      </c>
      <c r="B52" s="6">
        <v>2020</v>
      </c>
      <c r="C52" s="6">
        <f>B52+A52</f>
        <v>2360</v>
      </c>
      <c r="D52" s="6">
        <f>C52+A52</f>
        <v>2700</v>
      </c>
      <c r="E52" s="6">
        <f>D52+A52</f>
        <v>3040</v>
      </c>
    </row>
    <row r="56" spans="1:16" x14ac:dyDescent="0.25">
      <c r="A56" t="s">
        <v>56</v>
      </c>
      <c r="B56" s="6" t="e">
        <f>P50-P48</f>
        <v>#REF!</v>
      </c>
      <c r="J56" s="74" t="s">
        <v>59</v>
      </c>
      <c r="K56" s="74"/>
      <c r="M56" s="6">
        <f>'[1]+2%'!$F$40</f>
        <v>11863751.071898468</v>
      </c>
    </row>
    <row r="57" spans="1:16" x14ac:dyDescent="0.25">
      <c r="B57" s="9" t="e">
        <f>IF(B56&gt;=M58, TRUE, FALSE)</f>
        <v>#REF!</v>
      </c>
      <c r="J57" s="74" t="s">
        <v>60</v>
      </c>
      <c r="K57" s="74"/>
      <c r="M57" s="6" t="e">
        <f>#REF!</f>
        <v>#REF!</v>
      </c>
    </row>
    <row r="58" spans="1:16" x14ac:dyDescent="0.25">
      <c r="B58" s="6" t="e">
        <f>B56-M58</f>
        <v>#REF!</v>
      </c>
      <c r="M58" s="6" t="e">
        <f>M56+M57</f>
        <v>#REF!</v>
      </c>
    </row>
    <row r="59" spans="1:16" x14ac:dyDescent="0.25">
      <c r="A59" t="s">
        <v>57</v>
      </c>
    </row>
    <row r="60" spans="1:16" x14ac:dyDescent="0.25">
      <c r="B60" t="s">
        <v>51</v>
      </c>
      <c r="C60" t="s">
        <v>52</v>
      </c>
      <c r="D60" t="s">
        <v>53</v>
      </c>
      <c r="E60" t="s">
        <v>54</v>
      </c>
    </row>
    <row r="61" spans="1:16" x14ac:dyDescent="0.25">
      <c r="A61">
        <v>399</v>
      </c>
      <c r="B61" s="6">
        <v>2250</v>
      </c>
      <c r="C61" s="6">
        <v>2649</v>
      </c>
      <c r="D61" s="6">
        <v>3048</v>
      </c>
      <c r="E61" s="6">
        <v>3447</v>
      </c>
    </row>
  </sheetData>
  <mergeCells count="2">
    <mergeCell ref="J56:K56"/>
    <mergeCell ref="J57:K57"/>
  </mergeCells>
  <pageMargins left="0.7" right="0.7" top="0.75" bottom="0.75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3EEC-0191-4E69-8F43-00A64628BD83}">
  <dimension ref="A1:Q61"/>
  <sheetViews>
    <sheetView view="pageBreakPreview" topLeftCell="A12" zoomScale="60" zoomScaleNormal="80" workbookViewId="0">
      <selection activeCell="P20" sqref="P20"/>
    </sheetView>
  </sheetViews>
  <sheetFormatPr defaultRowHeight="15" x14ac:dyDescent="0.25"/>
  <cols>
    <col min="1" max="1" width="39.42578125" customWidth="1"/>
    <col min="2" max="2" width="14.7109375" hidden="1" customWidth="1"/>
    <col min="3" max="3" width="15.7109375" hidden="1" customWidth="1"/>
    <col min="4" max="4" width="11.5703125" hidden="1" customWidth="1"/>
    <col min="5" max="5" width="15.5703125" hidden="1" customWidth="1"/>
    <col min="6" max="6" width="9.140625" hidden="1" customWidth="1"/>
    <col min="7" max="7" width="15.7109375" hidden="1" customWidth="1"/>
    <col min="8" max="8" width="9.140625" hidden="1" customWidth="1"/>
    <col min="9" max="9" width="15.7109375" hidden="1" customWidth="1"/>
    <col min="10" max="10" width="16" hidden="1" customWidth="1"/>
    <col min="11" max="11" width="16.42578125" hidden="1" customWidth="1"/>
    <col min="12" max="15" width="18.42578125" customWidth="1"/>
    <col min="16" max="16" width="18.42578125" style="4" customWidth="1"/>
    <col min="17" max="17" width="18.42578125" customWidth="1"/>
  </cols>
  <sheetData>
    <row r="1" spans="1:17" x14ac:dyDescent="0.25">
      <c r="A1" t="s">
        <v>89</v>
      </c>
    </row>
    <row r="2" spans="1:17" ht="30" x14ac:dyDescent="0.25">
      <c r="A2" s="1"/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6</v>
      </c>
      <c r="M2" s="1" t="s">
        <v>5</v>
      </c>
      <c r="N2" s="1" t="s">
        <v>8</v>
      </c>
      <c r="O2" s="1" t="s">
        <v>77</v>
      </c>
      <c r="P2" s="2" t="s">
        <v>7</v>
      </c>
      <c r="Q2" s="1" t="s">
        <v>91</v>
      </c>
    </row>
    <row r="3" spans="1:17" x14ac:dyDescent="0.25">
      <c r="A3" s="43" t="s">
        <v>9</v>
      </c>
      <c r="N3" s="3">
        <f>AVERAGE(N4:N15)</f>
        <v>-4.0810106867924544E-2</v>
      </c>
    </row>
    <row r="4" spans="1:17" x14ac:dyDescent="0.25">
      <c r="A4" s="5" t="s">
        <v>10</v>
      </c>
      <c r="B4">
        <v>207.5</v>
      </c>
      <c r="C4" s="6">
        <f>B4*$B$52</f>
        <v>400475</v>
      </c>
      <c r="D4">
        <v>147</v>
      </c>
      <c r="E4" s="6">
        <f t="shared" ref="E4:E15" si="0">D4*$C$52</f>
        <v>333690</v>
      </c>
      <c r="F4">
        <v>125.5</v>
      </c>
      <c r="G4" s="6">
        <f t="shared" ref="G4:G15" si="1">F4*$D$52</f>
        <v>327555</v>
      </c>
      <c r="H4">
        <v>259.5</v>
      </c>
      <c r="I4" s="6">
        <f t="shared" ref="I4:I15" si="2">H4*$E$52</f>
        <v>765525</v>
      </c>
      <c r="J4">
        <v>4</v>
      </c>
      <c r="K4" s="6">
        <f t="shared" ref="K4:K29" si="3">J4*$B$52</f>
        <v>7720</v>
      </c>
      <c r="L4" s="9">
        <v>2259818</v>
      </c>
      <c r="M4" s="6">
        <f t="shared" ref="M4:M15" si="4">SUM(K4+I4+G4+E4+C4)</f>
        <v>1834965</v>
      </c>
      <c r="N4" s="3">
        <f t="shared" ref="N4:N15" si="5">(M4-L4)/L4</f>
        <v>-0.18800319317750366</v>
      </c>
      <c r="O4" s="6">
        <f t="shared" ref="O4:O34" si="6">IF(N4&lt;-0.04,L4*0.96,IF(N4&gt;0.04,L4*1.04,M4))</f>
        <v>2169425.2799999998</v>
      </c>
      <c r="P4" s="10">
        <f t="shared" ref="P4:P15" si="7">IF(O4=FALSE,M4,O4)</f>
        <v>2169425.2799999998</v>
      </c>
      <c r="Q4" s="3">
        <f t="shared" ref="Q4:Q15" si="8">(P4-L4)/L4</f>
        <v>-4.0000000000000091E-2</v>
      </c>
    </row>
    <row r="5" spans="1:17" x14ac:dyDescent="0.25">
      <c r="A5" s="5" t="s">
        <v>11</v>
      </c>
      <c r="B5">
        <v>588</v>
      </c>
      <c r="C5" s="6">
        <f t="shared" ref="C5:C30" si="9">B5*$B$52</f>
        <v>1134840</v>
      </c>
      <c r="D5">
        <v>750.5</v>
      </c>
      <c r="E5" s="6">
        <f t="shared" si="0"/>
        <v>1703635</v>
      </c>
      <c r="F5">
        <v>574</v>
      </c>
      <c r="G5" s="6">
        <f t="shared" si="1"/>
        <v>1498140</v>
      </c>
      <c r="H5">
        <v>1142</v>
      </c>
      <c r="I5" s="6">
        <f t="shared" si="2"/>
        <v>3368900</v>
      </c>
      <c r="J5">
        <v>15</v>
      </c>
      <c r="K5" s="6">
        <f t="shared" si="3"/>
        <v>28950</v>
      </c>
      <c r="L5" s="9">
        <v>8358127</v>
      </c>
      <c r="M5" s="6">
        <f t="shared" si="4"/>
        <v>7734465</v>
      </c>
      <c r="N5" s="3">
        <f t="shared" si="5"/>
        <v>-7.4617435222030001E-2</v>
      </c>
      <c r="O5" s="6">
        <f t="shared" si="6"/>
        <v>8023801.9199999999</v>
      </c>
      <c r="P5" s="10">
        <f t="shared" si="7"/>
        <v>8023801.9199999999</v>
      </c>
      <c r="Q5" s="3">
        <f t="shared" si="8"/>
        <v>-4.0000000000000008E-2</v>
      </c>
    </row>
    <row r="6" spans="1:17" x14ac:dyDescent="0.25">
      <c r="A6" s="5" t="s">
        <v>12</v>
      </c>
      <c r="B6">
        <v>98.5</v>
      </c>
      <c r="C6" s="6">
        <f t="shared" si="9"/>
        <v>190105</v>
      </c>
      <c r="D6">
        <v>163.5</v>
      </c>
      <c r="E6" s="6">
        <f t="shared" si="0"/>
        <v>371145</v>
      </c>
      <c r="F6">
        <v>132.5</v>
      </c>
      <c r="G6" s="6">
        <f t="shared" si="1"/>
        <v>345825</v>
      </c>
      <c r="H6">
        <v>235</v>
      </c>
      <c r="I6" s="6">
        <f t="shared" si="2"/>
        <v>693250</v>
      </c>
      <c r="J6">
        <v>3.5</v>
      </c>
      <c r="K6" s="6">
        <f t="shared" si="3"/>
        <v>6755</v>
      </c>
      <c r="L6" s="9">
        <v>1618343</v>
      </c>
      <c r="M6" s="6">
        <f t="shared" si="4"/>
        <v>1607080</v>
      </c>
      <c r="N6" s="3">
        <f t="shared" si="5"/>
        <v>-6.9595876770252038E-3</v>
      </c>
      <c r="O6" s="6">
        <f t="shared" si="6"/>
        <v>1607080</v>
      </c>
      <c r="P6" s="10">
        <f t="shared" si="7"/>
        <v>1607080</v>
      </c>
      <c r="Q6" s="3">
        <f t="shared" si="8"/>
        <v>-6.9595876770252038E-3</v>
      </c>
    </row>
    <row r="7" spans="1:17" x14ac:dyDescent="0.25">
      <c r="A7" s="5" t="s">
        <v>13</v>
      </c>
      <c r="B7">
        <v>1176.5</v>
      </c>
      <c r="C7" s="6">
        <f t="shared" si="9"/>
        <v>2270645</v>
      </c>
      <c r="D7">
        <v>1007.5</v>
      </c>
      <c r="E7" s="6">
        <f t="shared" si="0"/>
        <v>2287025</v>
      </c>
      <c r="F7">
        <v>1240.5</v>
      </c>
      <c r="G7" s="6">
        <f t="shared" si="1"/>
        <v>3237705</v>
      </c>
      <c r="H7">
        <v>1669</v>
      </c>
      <c r="I7" s="6">
        <f t="shared" si="2"/>
        <v>4923550</v>
      </c>
      <c r="J7">
        <v>11.5</v>
      </c>
      <c r="K7" s="6">
        <f t="shared" si="3"/>
        <v>22195</v>
      </c>
      <c r="L7" s="9">
        <v>13125938</v>
      </c>
      <c r="M7" s="6">
        <f t="shared" si="4"/>
        <v>12741120</v>
      </c>
      <c r="N7" s="3">
        <f t="shared" si="5"/>
        <v>-2.9317371451853574E-2</v>
      </c>
      <c r="O7" s="6">
        <f t="shared" si="6"/>
        <v>12741120</v>
      </c>
      <c r="P7" s="10">
        <f t="shared" si="7"/>
        <v>12741120</v>
      </c>
      <c r="Q7" s="3">
        <f t="shared" si="8"/>
        <v>-2.9317371451853574E-2</v>
      </c>
    </row>
    <row r="8" spans="1:17" x14ac:dyDescent="0.25">
      <c r="A8" s="5" t="s">
        <v>14</v>
      </c>
      <c r="B8">
        <v>298.5</v>
      </c>
      <c r="C8" s="6">
        <f t="shared" si="9"/>
        <v>576105</v>
      </c>
      <c r="D8">
        <v>278.5</v>
      </c>
      <c r="E8" s="6">
        <f t="shared" si="0"/>
        <v>632195</v>
      </c>
      <c r="F8">
        <v>355</v>
      </c>
      <c r="G8" s="6">
        <f t="shared" si="1"/>
        <v>926550</v>
      </c>
      <c r="H8">
        <v>676</v>
      </c>
      <c r="I8" s="6">
        <f t="shared" si="2"/>
        <v>1994200</v>
      </c>
      <c r="J8">
        <v>11</v>
      </c>
      <c r="K8" s="6">
        <f t="shared" si="3"/>
        <v>21230</v>
      </c>
      <c r="L8" s="9">
        <v>4579037</v>
      </c>
      <c r="M8" s="6">
        <f t="shared" si="4"/>
        <v>4150280</v>
      </c>
      <c r="N8" s="3">
        <f t="shared" si="5"/>
        <v>-9.3634753333506585E-2</v>
      </c>
      <c r="O8" s="6">
        <f t="shared" si="6"/>
        <v>4395875.5199999996</v>
      </c>
      <c r="P8" s="10">
        <f t="shared" si="7"/>
        <v>4395875.5199999996</v>
      </c>
      <c r="Q8" s="3">
        <f t="shared" si="8"/>
        <v>-4.0000000000000098E-2</v>
      </c>
    </row>
    <row r="9" spans="1:17" x14ac:dyDescent="0.25">
      <c r="A9" s="5" t="s">
        <v>15</v>
      </c>
      <c r="B9">
        <v>64.5</v>
      </c>
      <c r="C9" s="6">
        <f t="shared" si="9"/>
        <v>124485</v>
      </c>
      <c r="D9">
        <v>112</v>
      </c>
      <c r="E9" s="6">
        <f t="shared" si="0"/>
        <v>254240</v>
      </c>
      <c r="F9">
        <v>110.5</v>
      </c>
      <c r="G9" s="6">
        <f t="shared" si="1"/>
        <v>288405</v>
      </c>
      <c r="H9">
        <v>210</v>
      </c>
      <c r="I9" s="6">
        <f t="shared" si="2"/>
        <v>619500</v>
      </c>
      <c r="J9">
        <v>2</v>
      </c>
      <c r="K9" s="6">
        <f t="shared" si="3"/>
        <v>3860</v>
      </c>
      <c r="L9" s="9">
        <v>1497559</v>
      </c>
      <c r="M9" s="6">
        <f t="shared" si="4"/>
        <v>1290490</v>
      </c>
      <c r="N9" s="3">
        <f t="shared" si="5"/>
        <v>-0.13827101302853509</v>
      </c>
      <c r="O9" s="6">
        <f t="shared" si="6"/>
        <v>1437656.64</v>
      </c>
      <c r="P9" s="10">
        <f t="shared" si="7"/>
        <v>1437656.64</v>
      </c>
      <c r="Q9" s="3">
        <f t="shared" si="8"/>
        <v>-4.000000000000007E-2</v>
      </c>
    </row>
    <row r="10" spans="1:17" x14ac:dyDescent="0.25">
      <c r="A10" s="5" t="s">
        <v>16</v>
      </c>
      <c r="B10">
        <v>1454</v>
      </c>
      <c r="C10" s="6">
        <f t="shared" si="9"/>
        <v>2806220</v>
      </c>
      <c r="D10">
        <v>1385</v>
      </c>
      <c r="E10" s="6">
        <f t="shared" si="0"/>
        <v>3143950</v>
      </c>
      <c r="F10">
        <v>1627.5</v>
      </c>
      <c r="G10" s="6">
        <f t="shared" si="1"/>
        <v>4247775</v>
      </c>
      <c r="H10">
        <v>3397</v>
      </c>
      <c r="I10" s="6">
        <f t="shared" si="2"/>
        <v>10021150</v>
      </c>
      <c r="J10">
        <v>15.5</v>
      </c>
      <c r="K10" s="6">
        <f t="shared" si="3"/>
        <v>29915</v>
      </c>
      <c r="L10" s="9">
        <v>20913437</v>
      </c>
      <c r="M10" s="6">
        <f t="shared" si="4"/>
        <v>20249010</v>
      </c>
      <c r="N10" s="3">
        <f t="shared" si="5"/>
        <v>-3.1770339805934335E-2</v>
      </c>
      <c r="O10" s="6">
        <f t="shared" si="6"/>
        <v>20249010</v>
      </c>
      <c r="P10" s="10">
        <f t="shared" si="7"/>
        <v>20249010</v>
      </c>
      <c r="Q10" s="3">
        <f t="shared" si="8"/>
        <v>-3.1770339805934335E-2</v>
      </c>
    </row>
    <row r="11" spans="1:17" x14ac:dyDescent="0.25">
      <c r="A11" s="5" t="s">
        <v>17</v>
      </c>
      <c r="B11">
        <v>583.5</v>
      </c>
      <c r="C11" s="6">
        <f t="shared" si="9"/>
        <v>1126155</v>
      </c>
      <c r="D11">
        <v>766</v>
      </c>
      <c r="E11" s="6">
        <f t="shared" si="0"/>
        <v>1738820</v>
      </c>
      <c r="F11">
        <v>896.5</v>
      </c>
      <c r="G11" s="6">
        <f t="shared" si="1"/>
        <v>2339865</v>
      </c>
      <c r="H11">
        <v>1955.5</v>
      </c>
      <c r="I11" s="6">
        <f t="shared" si="2"/>
        <v>5768725</v>
      </c>
      <c r="J11">
        <v>31</v>
      </c>
      <c r="K11" s="6">
        <f t="shared" si="3"/>
        <v>59830</v>
      </c>
      <c r="L11" s="9">
        <v>10546316</v>
      </c>
      <c r="M11" s="6">
        <f t="shared" si="4"/>
        <v>11033395</v>
      </c>
      <c r="N11" s="3">
        <f t="shared" si="5"/>
        <v>4.6184753045518452E-2</v>
      </c>
      <c r="O11" s="6">
        <f t="shared" si="6"/>
        <v>10968168.640000001</v>
      </c>
      <c r="P11" s="10">
        <f t="shared" si="7"/>
        <v>10968168.640000001</v>
      </c>
      <c r="Q11" s="3">
        <f t="shared" si="8"/>
        <v>4.0000000000000056E-2</v>
      </c>
    </row>
    <row r="12" spans="1:17" x14ac:dyDescent="0.25">
      <c r="A12" s="5" t="s">
        <v>18</v>
      </c>
      <c r="B12">
        <v>587.5</v>
      </c>
      <c r="C12" s="6">
        <f t="shared" si="9"/>
        <v>1133875</v>
      </c>
      <c r="D12">
        <v>622</v>
      </c>
      <c r="E12" s="6">
        <f t="shared" si="0"/>
        <v>1411940</v>
      </c>
      <c r="F12">
        <v>675</v>
      </c>
      <c r="G12" s="6">
        <f t="shared" si="1"/>
        <v>1761750</v>
      </c>
      <c r="H12">
        <v>1517</v>
      </c>
      <c r="I12" s="6">
        <f t="shared" si="2"/>
        <v>4475150</v>
      </c>
      <c r="J12">
        <v>45</v>
      </c>
      <c r="K12" s="6">
        <f t="shared" si="3"/>
        <v>86850</v>
      </c>
      <c r="L12" s="9">
        <v>8941951</v>
      </c>
      <c r="M12" s="6">
        <f t="shared" si="4"/>
        <v>8869565</v>
      </c>
      <c r="N12" s="3">
        <f t="shared" si="5"/>
        <v>-8.0951013934207425E-3</v>
      </c>
      <c r="O12" s="6">
        <f t="shared" si="6"/>
        <v>8869565</v>
      </c>
      <c r="P12" s="10">
        <f t="shared" si="7"/>
        <v>8869565</v>
      </c>
      <c r="Q12" s="3">
        <f t="shared" si="8"/>
        <v>-8.0951013934207425E-3</v>
      </c>
    </row>
    <row r="13" spans="1:17" x14ac:dyDescent="0.25">
      <c r="A13" s="5" t="s">
        <v>19</v>
      </c>
      <c r="B13">
        <v>613.5</v>
      </c>
      <c r="C13" s="6">
        <f t="shared" si="9"/>
        <v>1184055</v>
      </c>
      <c r="D13">
        <v>755</v>
      </c>
      <c r="E13" s="6">
        <f t="shared" si="0"/>
        <v>1713850</v>
      </c>
      <c r="F13">
        <v>1062</v>
      </c>
      <c r="G13" s="6">
        <f t="shared" si="1"/>
        <v>2771820</v>
      </c>
      <c r="H13">
        <v>2028.5</v>
      </c>
      <c r="I13" s="6">
        <f t="shared" si="2"/>
        <v>5984075</v>
      </c>
      <c r="J13">
        <v>20</v>
      </c>
      <c r="K13" s="6">
        <f t="shared" si="3"/>
        <v>38600</v>
      </c>
      <c r="L13" s="9">
        <v>11286802</v>
      </c>
      <c r="M13" s="6">
        <f t="shared" si="4"/>
        <v>11692400</v>
      </c>
      <c r="N13" s="3">
        <f t="shared" si="5"/>
        <v>3.5935599827125519E-2</v>
      </c>
      <c r="O13" s="6">
        <f t="shared" si="6"/>
        <v>11692400</v>
      </c>
      <c r="P13" s="10">
        <f t="shared" si="7"/>
        <v>11692400</v>
      </c>
      <c r="Q13" s="3">
        <f t="shared" si="8"/>
        <v>3.5935599827125519E-2</v>
      </c>
    </row>
    <row r="14" spans="1:17" x14ac:dyDescent="0.25">
      <c r="A14" s="5" t="s">
        <v>20</v>
      </c>
      <c r="B14">
        <v>647</v>
      </c>
      <c r="C14" s="6">
        <f t="shared" si="9"/>
        <v>1248710</v>
      </c>
      <c r="D14">
        <v>572.5</v>
      </c>
      <c r="E14" s="6">
        <f t="shared" si="0"/>
        <v>1299575</v>
      </c>
      <c r="F14">
        <v>634.5</v>
      </c>
      <c r="G14" s="6">
        <f t="shared" si="1"/>
        <v>1656045</v>
      </c>
      <c r="H14">
        <v>1288.5</v>
      </c>
      <c r="I14" s="6">
        <f t="shared" si="2"/>
        <v>3801075</v>
      </c>
      <c r="J14">
        <v>10</v>
      </c>
      <c r="K14" s="6">
        <f t="shared" si="3"/>
        <v>19300</v>
      </c>
      <c r="L14" s="9">
        <v>7280013</v>
      </c>
      <c r="M14" s="6">
        <f t="shared" si="4"/>
        <v>8024705</v>
      </c>
      <c r="N14" s="3">
        <f t="shared" si="5"/>
        <v>0.10229267447736701</v>
      </c>
      <c r="O14" s="6">
        <f t="shared" si="6"/>
        <v>7571213.5200000005</v>
      </c>
      <c r="P14" s="10">
        <f t="shared" si="7"/>
        <v>7571213.5200000005</v>
      </c>
      <c r="Q14" s="3">
        <f t="shared" si="8"/>
        <v>4.0000000000000063E-2</v>
      </c>
    </row>
    <row r="15" spans="1:17" x14ac:dyDescent="0.25">
      <c r="A15" s="5" t="s">
        <v>21</v>
      </c>
      <c r="B15">
        <v>71.5</v>
      </c>
      <c r="C15" s="6">
        <f t="shared" si="9"/>
        <v>137995</v>
      </c>
      <c r="D15">
        <v>98</v>
      </c>
      <c r="E15" s="6">
        <f t="shared" si="0"/>
        <v>222460</v>
      </c>
      <c r="F15">
        <v>92.5</v>
      </c>
      <c r="G15" s="6">
        <f t="shared" si="1"/>
        <v>241425</v>
      </c>
      <c r="H15">
        <v>193.5</v>
      </c>
      <c r="I15" s="6">
        <f t="shared" si="2"/>
        <v>570825</v>
      </c>
      <c r="J15">
        <v>1</v>
      </c>
      <c r="K15" s="6">
        <f t="shared" si="3"/>
        <v>1930</v>
      </c>
      <c r="L15" s="9">
        <v>1310195</v>
      </c>
      <c r="M15" s="6">
        <f t="shared" si="4"/>
        <v>1174635</v>
      </c>
      <c r="N15" s="3">
        <f t="shared" si="5"/>
        <v>-0.10346551467529642</v>
      </c>
      <c r="O15" s="6">
        <f t="shared" si="6"/>
        <v>1257787.2</v>
      </c>
      <c r="P15" s="10">
        <f t="shared" si="7"/>
        <v>1257787.2</v>
      </c>
      <c r="Q15" s="3">
        <f t="shared" si="8"/>
        <v>-4.0000000000000036E-2</v>
      </c>
    </row>
    <row r="16" spans="1:17" x14ac:dyDescent="0.25">
      <c r="B16" s="8"/>
      <c r="C16" s="6"/>
      <c r="E16" s="6"/>
      <c r="F16" s="8"/>
      <c r="G16" s="6"/>
      <c r="H16" s="8"/>
      <c r="I16" s="6"/>
      <c r="J16" s="8"/>
      <c r="K16" s="6"/>
      <c r="M16" s="7"/>
      <c r="N16" s="3"/>
      <c r="O16" s="6">
        <f t="shared" si="6"/>
        <v>0</v>
      </c>
      <c r="P16" s="10"/>
      <c r="Q16" s="3"/>
    </row>
    <row r="17" spans="1:17" x14ac:dyDescent="0.25">
      <c r="A17" s="47" t="s">
        <v>22</v>
      </c>
      <c r="B17" s="8"/>
      <c r="C17" s="6"/>
      <c r="D17" s="11"/>
      <c r="E17" s="6"/>
      <c r="F17" s="8"/>
      <c r="G17" s="6"/>
      <c r="H17" s="8"/>
      <c r="I17" s="6"/>
      <c r="J17" s="8"/>
      <c r="K17" s="6"/>
      <c r="M17" s="7"/>
      <c r="N17" s="3">
        <f>AVERAGE(N18:N30)</f>
        <v>-0.11518128340668907</v>
      </c>
      <c r="O17" s="6">
        <f t="shared" si="6"/>
        <v>0</v>
      </c>
      <c r="P17" s="10"/>
      <c r="Q17" s="3"/>
    </row>
    <row r="18" spans="1:17" x14ac:dyDescent="0.25">
      <c r="A18" s="5" t="s">
        <v>23</v>
      </c>
      <c r="B18">
        <v>528.5</v>
      </c>
      <c r="C18" s="6">
        <f t="shared" si="9"/>
        <v>1020005</v>
      </c>
      <c r="D18">
        <v>603.5</v>
      </c>
      <c r="E18" s="6">
        <f t="shared" ref="E18:E30" si="10">D18*$C$52</f>
        <v>1369945</v>
      </c>
      <c r="F18">
        <v>3</v>
      </c>
      <c r="G18" s="12">
        <f t="shared" ref="G18" si="11">F18*$D$52</f>
        <v>7830</v>
      </c>
      <c r="I18" s="6"/>
      <c r="K18" s="6"/>
      <c r="L18" s="9">
        <v>3004148</v>
      </c>
      <c r="M18" s="6">
        <f t="shared" ref="M18:M30" si="12">SUM(K18+I18+G18+E18+C18)</f>
        <v>2397780</v>
      </c>
      <c r="N18" s="3">
        <f t="shared" ref="N18:N30" si="13">(M18-L18)/L18</f>
        <v>-0.20184358427081489</v>
      </c>
      <c r="O18" s="6">
        <f t="shared" si="6"/>
        <v>2883982.08</v>
      </c>
      <c r="P18" s="10">
        <f t="shared" ref="P18:P30" si="14">IF(O18=FALSE,M18,O18)</f>
        <v>2883982.08</v>
      </c>
      <c r="Q18" s="3">
        <f t="shared" ref="Q18:Q30" si="15">(P18-L18)/L18</f>
        <v>-3.9999999999999973E-2</v>
      </c>
    </row>
    <row r="19" spans="1:17" x14ac:dyDescent="0.25">
      <c r="A19" s="5" t="s">
        <v>24</v>
      </c>
      <c r="B19">
        <v>58.5</v>
      </c>
      <c r="C19" s="6">
        <f t="shared" si="9"/>
        <v>112905</v>
      </c>
      <c r="D19">
        <v>145</v>
      </c>
      <c r="E19" s="6">
        <f t="shared" si="10"/>
        <v>329150</v>
      </c>
      <c r="G19" s="12"/>
      <c r="I19" s="6"/>
      <c r="K19" s="6"/>
      <c r="L19" s="9">
        <v>476475</v>
      </c>
      <c r="M19" s="6">
        <f t="shared" si="12"/>
        <v>442055</v>
      </c>
      <c r="N19" s="3">
        <f t="shared" si="13"/>
        <v>-7.2238837294716404E-2</v>
      </c>
      <c r="O19" s="6">
        <f t="shared" si="6"/>
        <v>457416</v>
      </c>
      <c r="P19" s="10">
        <f t="shared" si="14"/>
        <v>457416</v>
      </c>
      <c r="Q19" s="3">
        <f t="shared" si="15"/>
        <v>-0.04</v>
      </c>
    </row>
    <row r="20" spans="1:17" x14ac:dyDescent="0.25">
      <c r="A20" s="5" t="s">
        <v>25</v>
      </c>
      <c r="B20">
        <v>737</v>
      </c>
      <c r="C20" s="6">
        <f t="shared" si="9"/>
        <v>1422410</v>
      </c>
      <c r="D20">
        <v>824.5</v>
      </c>
      <c r="E20" s="6">
        <f t="shared" si="10"/>
        <v>1871615</v>
      </c>
      <c r="G20" s="12"/>
      <c r="I20" s="6"/>
      <c r="K20" s="6"/>
      <c r="L20" s="9">
        <v>3851839</v>
      </c>
      <c r="M20" s="6">
        <f t="shared" si="12"/>
        <v>3294025</v>
      </c>
      <c r="N20" s="3">
        <f t="shared" si="13"/>
        <v>-0.14481757934326953</v>
      </c>
      <c r="O20" s="6">
        <f t="shared" si="6"/>
        <v>3697765.44</v>
      </c>
      <c r="P20" s="10">
        <f t="shared" si="14"/>
        <v>3697765.44</v>
      </c>
      <c r="Q20" s="3">
        <f t="shared" si="15"/>
        <v>-4.0000000000000015E-2</v>
      </c>
    </row>
    <row r="21" spans="1:17" x14ac:dyDescent="0.25">
      <c r="A21" s="5" t="s">
        <v>26</v>
      </c>
      <c r="B21">
        <v>1169.5</v>
      </c>
      <c r="C21" s="6">
        <f t="shared" si="9"/>
        <v>2257135</v>
      </c>
      <c r="D21">
        <v>1049</v>
      </c>
      <c r="E21" s="6">
        <f t="shared" si="10"/>
        <v>2381230</v>
      </c>
      <c r="G21" s="12"/>
      <c r="H21">
        <v>1.5</v>
      </c>
      <c r="I21" s="12">
        <f>H21*$E$52</f>
        <v>4425</v>
      </c>
      <c r="K21" s="6"/>
      <c r="L21" s="9">
        <v>5340274</v>
      </c>
      <c r="M21" s="6">
        <f t="shared" si="12"/>
        <v>4642790</v>
      </c>
      <c r="N21" s="3">
        <f t="shared" si="13"/>
        <v>-0.13060827965007038</v>
      </c>
      <c r="O21" s="6">
        <f t="shared" si="6"/>
        <v>5126663.04</v>
      </c>
      <c r="P21" s="10">
        <f t="shared" si="14"/>
        <v>5126663.04</v>
      </c>
      <c r="Q21" s="3">
        <f t="shared" si="15"/>
        <v>-3.9999999999999994E-2</v>
      </c>
    </row>
    <row r="22" spans="1:17" x14ac:dyDescent="0.25">
      <c r="A22" s="5" t="s">
        <v>27</v>
      </c>
      <c r="B22">
        <v>1706</v>
      </c>
      <c r="C22" s="6">
        <f t="shared" si="9"/>
        <v>3292580</v>
      </c>
      <c r="D22">
        <v>1904.5</v>
      </c>
      <c r="E22" s="6">
        <f t="shared" si="10"/>
        <v>4323215</v>
      </c>
      <c r="G22" s="12"/>
      <c r="I22" s="12"/>
      <c r="J22">
        <v>0.5</v>
      </c>
      <c r="K22" s="6">
        <f t="shared" si="3"/>
        <v>965</v>
      </c>
      <c r="L22" s="9">
        <v>8960400</v>
      </c>
      <c r="M22" s="6">
        <f t="shared" si="12"/>
        <v>7616760</v>
      </c>
      <c r="N22" s="3">
        <f t="shared" si="13"/>
        <v>-0.14995312709254052</v>
      </c>
      <c r="O22" s="6">
        <f t="shared" si="6"/>
        <v>8601984</v>
      </c>
      <c r="P22" s="10">
        <f t="shared" si="14"/>
        <v>8601984</v>
      </c>
      <c r="Q22" s="3">
        <f t="shared" si="15"/>
        <v>-0.04</v>
      </c>
    </row>
    <row r="23" spans="1:17" x14ac:dyDescent="0.25">
      <c r="A23" s="5" t="s">
        <v>28</v>
      </c>
      <c r="B23">
        <v>94</v>
      </c>
      <c r="C23" s="6">
        <f t="shared" si="9"/>
        <v>181420</v>
      </c>
      <c r="D23">
        <v>150.5</v>
      </c>
      <c r="E23" s="6">
        <f t="shared" si="10"/>
        <v>341635</v>
      </c>
      <c r="G23" s="12"/>
      <c r="I23" s="12"/>
      <c r="K23" s="6"/>
      <c r="L23" s="9">
        <v>534912</v>
      </c>
      <c r="M23" s="6">
        <f t="shared" si="12"/>
        <v>523055</v>
      </c>
      <c r="N23" s="3">
        <f t="shared" si="13"/>
        <v>-2.2166262861928691E-2</v>
      </c>
      <c r="O23" s="6">
        <f t="shared" si="6"/>
        <v>523055</v>
      </c>
      <c r="P23" s="10">
        <f t="shared" si="14"/>
        <v>523055</v>
      </c>
      <c r="Q23" s="3">
        <f t="shared" si="15"/>
        <v>-2.2166262861928691E-2</v>
      </c>
    </row>
    <row r="24" spans="1:17" x14ac:dyDescent="0.25">
      <c r="A24" s="5" t="s">
        <v>29</v>
      </c>
      <c r="B24">
        <v>76.5</v>
      </c>
      <c r="C24" s="6">
        <f t="shared" si="9"/>
        <v>147645</v>
      </c>
      <c r="D24">
        <v>151.5</v>
      </c>
      <c r="E24" s="6">
        <f t="shared" si="10"/>
        <v>343905</v>
      </c>
      <c r="G24" s="12"/>
      <c r="I24" s="12"/>
      <c r="K24" s="6"/>
      <c r="L24" s="9">
        <v>657553</v>
      </c>
      <c r="M24" s="6">
        <f t="shared" si="12"/>
        <v>491550</v>
      </c>
      <c r="N24" s="3">
        <f t="shared" si="13"/>
        <v>-0.25245569558651548</v>
      </c>
      <c r="O24" s="6">
        <f t="shared" si="6"/>
        <v>631250.88</v>
      </c>
      <c r="P24" s="10">
        <f t="shared" si="14"/>
        <v>631250.88</v>
      </c>
      <c r="Q24" s="3">
        <f t="shared" si="15"/>
        <v>-3.9999999999999994E-2</v>
      </c>
    </row>
    <row r="25" spans="1:17" x14ac:dyDescent="0.25">
      <c r="A25" s="5" t="s">
        <v>30</v>
      </c>
      <c r="B25">
        <v>127.5</v>
      </c>
      <c r="C25" s="6">
        <f t="shared" si="9"/>
        <v>246075</v>
      </c>
      <c r="D25">
        <v>227</v>
      </c>
      <c r="E25" s="6">
        <f t="shared" si="10"/>
        <v>515290</v>
      </c>
      <c r="G25" s="12"/>
      <c r="I25" s="12"/>
      <c r="K25" s="6"/>
      <c r="L25" s="9">
        <v>866153</v>
      </c>
      <c r="M25" s="6">
        <f t="shared" si="12"/>
        <v>761365</v>
      </c>
      <c r="N25" s="3">
        <f t="shared" si="13"/>
        <v>-0.12098093523892429</v>
      </c>
      <c r="O25" s="6">
        <f t="shared" si="6"/>
        <v>831506.88</v>
      </c>
      <c r="P25" s="10">
        <f t="shared" si="14"/>
        <v>831506.88</v>
      </c>
      <c r="Q25" s="3">
        <f t="shared" si="15"/>
        <v>-3.9999999999999994E-2</v>
      </c>
    </row>
    <row r="26" spans="1:17" x14ac:dyDescent="0.25">
      <c r="A26" s="51" t="s">
        <v>31</v>
      </c>
      <c r="B26">
        <v>146</v>
      </c>
      <c r="C26" s="6">
        <f t="shared" si="9"/>
        <v>281780</v>
      </c>
      <c r="D26">
        <v>309.5</v>
      </c>
      <c r="E26" s="6">
        <f t="shared" si="10"/>
        <v>702565</v>
      </c>
      <c r="G26" s="12"/>
      <c r="I26" s="12"/>
      <c r="K26" s="6"/>
      <c r="L26" s="9">
        <v>1026685</v>
      </c>
      <c r="M26" s="6">
        <f t="shared" si="12"/>
        <v>984345</v>
      </c>
      <c r="N26" s="3">
        <f t="shared" si="13"/>
        <v>-4.123952332020045E-2</v>
      </c>
      <c r="O26" s="6">
        <f t="shared" si="6"/>
        <v>985617.6</v>
      </c>
      <c r="P26" s="10">
        <f t="shared" si="14"/>
        <v>985617.6</v>
      </c>
      <c r="Q26" s="3">
        <f t="shared" si="15"/>
        <v>-4.0000000000000022E-2</v>
      </c>
    </row>
    <row r="27" spans="1:17" x14ac:dyDescent="0.25">
      <c r="A27" s="5" t="s">
        <v>32</v>
      </c>
      <c r="B27">
        <v>1970</v>
      </c>
      <c r="C27" s="6">
        <f t="shared" si="9"/>
        <v>3802100</v>
      </c>
      <c r="D27">
        <v>2652.5</v>
      </c>
      <c r="E27" s="6">
        <f t="shared" si="10"/>
        <v>6021175</v>
      </c>
      <c r="F27">
        <v>2</v>
      </c>
      <c r="G27" s="12">
        <f>F27*$D$52</f>
        <v>5220</v>
      </c>
      <c r="H27">
        <v>2</v>
      </c>
      <c r="I27" s="12"/>
      <c r="K27" s="6"/>
      <c r="L27" s="9">
        <v>9993071</v>
      </c>
      <c r="M27" s="6">
        <f t="shared" si="12"/>
        <v>9828495</v>
      </c>
      <c r="N27" s="3">
        <f t="shared" si="13"/>
        <v>-1.6469011377983806E-2</v>
      </c>
      <c r="O27" s="6">
        <f t="shared" si="6"/>
        <v>9828495</v>
      </c>
      <c r="P27" s="10">
        <f t="shared" si="14"/>
        <v>9828495</v>
      </c>
      <c r="Q27" s="3">
        <f t="shared" si="15"/>
        <v>-1.6469011377983806E-2</v>
      </c>
    </row>
    <row r="28" spans="1:17" x14ac:dyDescent="0.25">
      <c r="A28" s="5" t="s">
        <v>33</v>
      </c>
      <c r="B28">
        <v>869.5</v>
      </c>
      <c r="C28" s="6">
        <f t="shared" si="9"/>
        <v>1678135</v>
      </c>
      <c r="D28">
        <v>1000.5</v>
      </c>
      <c r="E28" s="6">
        <f t="shared" si="10"/>
        <v>2271135</v>
      </c>
      <c r="G28" s="12"/>
      <c r="H28">
        <v>7.5</v>
      </c>
      <c r="I28" s="12">
        <f t="shared" ref="I28:I29" si="16">H28*$E$52</f>
        <v>22125</v>
      </c>
      <c r="J28">
        <v>1</v>
      </c>
      <c r="K28" s="6">
        <f t="shared" si="3"/>
        <v>1930</v>
      </c>
      <c r="L28" s="9">
        <v>4756617</v>
      </c>
      <c r="M28" s="6">
        <f t="shared" si="12"/>
        <v>3973325</v>
      </c>
      <c r="N28" s="3">
        <f t="shared" si="13"/>
        <v>-0.16467417914875215</v>
      </c>
      <c r="O28" s="6">
        <f t="shared" si="6"/>
        <v>4566352.3199999994</v>
      </c>
      <c r="P28" s="10">
        <f t="shared" si="14"/>
        <v>4566352.3199999994</v>
      </c>
      <c r="Q28" s="3">
        <f t="shared" si="15"/>
        <v>-4.0000000000000133E-2</v>
      </c>
    </row>
    <row r="29" spans="1:17" x14ac:dyDescent="0.25">
      <c r="A29" s="5" t="s">
        <v>34</v>
      </c>
      <c r="B29">
        <v>692.5</v>
      </c>
      <c r="C29" s="6">
        <f t="shared" si="9"/>
        <v>1336525</v>
      </c>
      <c r="D29">
        <v>871.5</v>
      </c>
      <c r="E29" s="6">
        <f t="shared" si="10"/>
        <v>1978305</v>
      </c>
      <c r="F29">
        <v>1</v>
      </c>
      <c r="G29" s="12">
        <f t="shared" ref="G29" si="17">F29*$D$52</f>
        <v>2610</v>
      </c>
      <c r="H29">
        <v>2</v>
      </c>
      <c r="I29" s="12">
        <f t="shared" si="16"/>
        <v>5900</v>
      </c>
      <c r="J29">
        <v>1</v>
      </c>
      <c r="K29" s="6">
        <f t="shared" si="3"/>
        <v>1930</v>
      </c>
      <c r="L29" s="9">
        <v>3816273</v>
      </c>
      <c r="M29" s="6">
        <f t="shared" si="12"/>
        <v>3325270</v>
      </c>
      <c r="N29" s="3">
        <f t="shared" si="13"/>
        <v>-0.12866034479189514</v>
      </c>
      <c r="O29" s="6">
        <f t="shared" si="6"/>
        <v>3663622.08</v>
      </c>
      <c r="P29" s="10">
        <f t="shared" si="14"/>
        <v>3663622.08</v>
      </c>
      <c r="Q29" s="3">
        <f t="shared" si="15"/>
        <v>-3.999999999999998E-2</v>
      </c>
    </row>
    <row r="30" spans="1:17" x14ac:dyDescent="0.25">
      <c r="A30" s="5" t="s">
        <v>35</v>
      </c>
      <c r="B30">
        <v>135.5</v>
      </c>
      <c r="C30" s="6">
        <f t="shared" si="9"/>
        <v>261515</v>
      </c>
      <c r="D30">
        <v>375</v>
      </c>
      <c r="E30" s="6">
        <f t="shared" si="10"/>
        <v>851250</v>
      </c>
      <c r="G30" s="6"/>
      <c r="I30" s="6"/>
      <c r="K30" s="6"/>
      <c r="L30" s="9">
        <v>1172874</v>
      </c>
      <c r="M30" s="6">
        <f t="shared" si="12"/>
        <v>1112765</v>
      </c>
      <c r="N30" s="3">
        <f t="shared" si="13"/>
        <v>-5.1249324309346103E-2</v>
      </c>
      <c r="O30" s="6">
        <f t="shared" si="6"/>
        <v>1125959.04</v>
      </c>
      <c r="P30" s="10">
        <f t="shared" si="14"/>
        <v>1125959.04</v>
      </c>
      <c r="Q30" s="3">
        <f t="shared" si="15"/>
        <v>-3.9999999999999966E-2</v>
      </c>
    </row>
    <row r="31" spans="1:17" x14ac:dyDescent="0.25">
      <c r="B31" s="8"/>
      <c r="C31" s="6"/>
      <c r="E31" s="6"/>
      <c r="F31" s="8"/>
      <c r="G31" s="6"/>
      <c r="H31" s="8"/>
      <c r="I31" s="6"/>
      <c r="J31" s="8"/>
      <c r="K31" s="6"/>
      <c r="M31" s="6"/>
      <c r="N31" s="3"/>
      <c r="O31" s="6">
        <f t="shared" si="6"/>
        <v>0</v>
      </c>
      <c r="P31" s="10"/>
      <c r="Q31" s="3"/>
    </row>
    <row r="32" spans="1:17" x14ac:dyDescent="0.25">
      <c r="A32" s="47" t="s">
        <v>36</v>
      </c>
      <c r="B32" s="8"/>
      <c r="C32" s="6"/>
      <c r="E32" s="6"/>
      <c r="F32" s="8"/>
      <c r="G32" s="6"/>
      <c r="H32" s="8"/>
      <c r="I32" s="6"/>
      <c r="J32" s="8"/>
      <c r="K32" s="6"/>
      <c r="M32" s="6"/>
      <c r="N32" s="3"/>
      <c r="O32" s="6">
        <f t="shared" si="6"/>
        <v>0</v>
      </c>
      <c r="P32" s="10"/>
      <c r="Q32" s="3"/>
    </row>
    <row r="33" spans="1:17" x14ac:dyDescent="0.25">
      <c r="A33" s="5" t="s">
        <v>37</v>
      </c>
      <c r="B33">
        <v>785.5</v>
      </c>
      <c r="C33" s="6">
        <f>B33*$B$52</f>
        <v>1516015</v>
      </c>
      <c r="D33">
        <v>1007</v>
      </c>
      <c r="E33" s="6">
        <f>D33*$C$52</f>
        <v>2285890</v>
      </c>
      <c r="F33" s="8"/>
      <c r="G33" s="6"/>
      <c r="H33" s="8"/>
      <c r="I33" s="6"/>
      <c r="J33" s="8"/>
      <c r="K33" s="6"/>
      <c r="L33" s="9">
        <v>3621278</v>
      </c>
      <c r="M33" s="6">
        <f>SUM(K33+I33+G33+E33+C33)</f>
        <v>3801905</v>
      </c>
      <c r="N33" s="3">
        <f>(M33-L33)/L33</f>
        <v>4.9879351985680193E-2</v>
      </c>
      <c r="O33" s="6">
        <f t="shared" si="6"/>
        <v>3766129.12</v>
      </c>
      <c r="P33" s="10">
        <f>IF(O33=FALSE,M33,O33)</f>
        <v>3766129.12</v>
      </c>
      <c r="Q33" s="3">
        <f>(P33-L33)/L33</f>
        <v>4.0000000000000029E-2</v>
      </c>
    </row>
    <row r="34" spans="1:17" x14ac:dyDescent="0.25">
      <c r="A34" s="5" t="s">
        <v>38</v>
      </c>
      <c r="B34">
        <v>574</v>
      </c>
      <c r="C34" s="6">
        <f>B34*$B$52</f>
        <v>1107820</v>
      </c>
      <c r="D34">
        <v>404</v>
      </c>
      <c r="E34" s="6">
        <f>D34*$C$52</f>
        <v>917080</v>
      </c>
      <c r="F34" s="8">
        <v>14</v>
      </c>
      <c r="G34" s="6">
        <f>F34*$D$52</f>
        <v>36540</v>
      </c>
      <c r="H34" s="8">
        <v>0</v>
      </c>
      <c r="I34" s="6">
        <f>H34*$E$52</f>
        <v>0</v>
      </c>
      <c r="J34" s="8"/>
      <c r="K34" s="6"/>
      <c r="L34" s="9">
        <v>2203668</v>
      </c>
      <c r="M34" s="6">
        <f>SUM(K34+I34+G34+E34+C34)</f>
        <v>2061440</v>
      </c>
      <c r="N34" s="3">
        <f>(M34-L34)/L34</f>
        <v>-6.4541482655282006E-2</v>
      </c>
      <c r="O34" s="6">
        <f t="shared" si="6"/>
        <v>2115521.2799999998</v>
      </c>
      <c r="P34" s="10">
        <f>IF(O34=FALSE,M34,O34)</f>
        <v>2115521.2799999998</v>
      </c>
      <c r="Q34" s="3">
        <f>(P34-L34)/L34</f>
        <v>-4.0000000000000091E-2</v>
      </c>
    </row>
    <row r="35" spans="1:17" x14ac:dyDescent="0.25">
      <c r="B35" s="8"/>
      <c r="C35" s="6"/>
      <c r="E35" s="6"/>
      <c r="F35" s="8"/>
      <c r="G35" s="6"/>
      <c r="H35" s="8"/>
      <c r="I35" s="6"/>
      <c r="J35" s="8"/>
      <c r="K35" s="6"/>
      <c r="M35" s="6"/>
      <c r="N35" s="3"/>
      <c r="O35" s="6"/>
      <c r="P35" s="10"/>
      <c r="Q35" s="3"/>
    </row>
    <row r="36" spans="1:17" x14ac:dyDescent="0.25">
      <c r="A36" s="47" t="s">
        <v>39</v>
      </c>
      <c r="B36" s="8"/>
      <c r="C36" s="6"/>
      <c r="D36" s="11"/>
      <c r="E36" s="6"/>
      <c r="F36" s="8"/>
      <c r="G36" s="6"/>
      <c r="H36" s="8"/>
      <c r="I36" s="6"/>
      <c r="J36" s="8"/>
      <c r="K36" s="6"/>
      <c r="M36" s="6"/>
      <c r="N36" s="3"/>
      <c r="O36" s="6"/>
      <c r="P36" s="10"/>
      <c r="Q36" s="3"/>
    </row>
    <row r="37" spans="1:17" x14ac:dyDescent="0.25">
      <c r="A37" s="5" t="s">
        <v>40</v>
      </c>
      <c r="B37">
        <v>186.5</v>
      </c>
      <c r="C37" s="6">
        <f>B37*$B$52</f>
        <v>359945</v>
      </c>
      <c r="D37">
        <v>234</v>
      </c>
      <c r="E37" s="6">
        <f>D37*$C$52</f>
        <v>531180</v>
      </c>
      <c r="F37" s="13">
        <v>218.5</v>
      </c>
      <c r="G37" s="6">
        <f>F37*$D$52</f>
        <v>570285</v>
      </c>
      <c r="H37">
        <v>274</v>
      </c>
      <c r="I37" s="6">
        <f>H37*$E$52</f>
        <v>808300</v>
      </c>
      <c r="J37" s="8"/>
      <c r="K37" s="6"/>
      <c r="L37" s="9">
        <v>2167621</v>
      </c>
      <c r="M37" s="6">
        <f>SUM(K37+I37+G37+E37+C37)</f>
        <v>2269710</v>
      </c>
      <c r="N37" s="3">
        <f>(M37-L37)/L37</f>
        <v>4.709725547039819E-2</v>
      </c>
      <c r="O37" s="6">
        <f>IF(N37&lt;-0.04,L37*0.96,IF(N37&gt;0.04,L37*1.04,M37))</f>
        <v>2254325.84</v>
      </c>
      <c r="P37" s="10">
        <f>IF(O37=FALSE,M37,O37)</f>
        <v>2254325.84</v>
      </c>
      <c r="Q37" s="3">
        <f>(P37-L37)/L37</f>
        <v>3.9999999999999931E-2</v>
      </c>
    </row>
    <row r="38" spans="1:17" x14ac:dyDescent="0.25">
      <c r="A38" s="5" t="s">
        <v>41</v>
      </c>
      <c r="B38">
        <v>12</v>
      </c>
      <c r="C38" s="6">
        <f>B38*$B$52</f>
        <v>23160</v>
      </c>
      <c r="D38">
        <v>13.5</v>
      </c>
      <c r="E38" s="6">
        <f>D38*$C$52</f>
        <v>30645</v>
      </c>
      <c r="F38" s="8">
        <v>13</v>
      </c>
      <c r="G38" s="6">
        <f>F38*$D$52</f>
        <v>33930</v>
      </c>
      <c r="H38">
        <v>18.5</v>
      </c>
      <c r="I38" s="6">
        <f>H38*$E$52</f>
        <v>54575</v>
      </c>
      <c r="J38" s="8"/>
      <c r="K38" s="6"/>
      <c r="L38" s="9">
        <v>158879</v>
      </c>
      <c r="M38" s="6">
        <f>SUM(K38+I38+G38+E38+C38)</f>
        <v>142310</v>
      </c>
      <c r="N38" s="3">
        <f>(M38-L38)/L38</f>
        <v>-0.1042869101643389</v>
      </c>
      <c r="O38" s="6">
        <f>IF(N38&lt;-0.04,L38*0.96,IF(N38&gt;0.04,L38*1.04,M38))</f>
        <v>152523.84</v>
      </c>
      <c r="P38" s="10">
        <f>IF(O38=FALSE,M38,O38)</f>
        <v>152523.84</v>
      </c>
      <c r="Q38" s="3">
        <f>(P38-L38)/L38</f>
        <v>-4.0000000000000022E-2</v>
      </c>
    </row>
    <row r="39" spans="1:17" x14ac:dyDescent="0.25">
      <c r="A39" s="5" t="s">
        <v>42</v>
      </c>
      <c r="B39">
        <v>30</v>
      </c>
      <c r="C39" s="6">
        <f>B39*$B$52</f>
        <v>57900</v>
      </c>
      <c r="D39">
        <v>23</v>
      </c>
      <c r="E39" s="6">
        <f>D39*$C$52</f>
        <v>52210</v>
      </c>
      <c r="F39" s="8">
        <v>35</v>
      </c>
      <c r="G39" s="6">
        <f>F39*$D$52</f>
        <v>91350</v>
      </c>
      <c r="H39">
        <v>26</v>
      </c>
      <c r="I39" s="6">
        <f>H39*$E$52</f>
        <v>76700</v>
      </c>
      <c r="J39" s="8"/>
      <c r="K39" s="6"/>
      <c r="L39" s="9">
        <v>126850</v>
      </c>
      <c r="M39" s="6">
        <f>SUM(K39+I39+G39+E39+C39)</f>
        <v>278160</v>
      </c>
      <c r="N39" s="3">
        <f>(M39-L39)/L39</f>
        <v>1.1928261726448561</v>
      </c>
      <c r="O39" s="6">
        <f>IF(N39&lt;-0.04,L39*0.96,IF(N39&gt;0.04,L39*1.04,M39))</f>
        <v>131924</v>
      </c>
      <c r="P39" s="10">
        <f>IF(O39=FALSE,M39,O39)</f>
        <v>131924</v>
      </c>
      <c r="Q39" s="3">
        <f>(P39-L39)/L39</f>
        <v>0.04</v>
      </c>
    </row>
    <row r="40" spans="1:17" x14ac:dyDescent="0.25">
      <c r="A40" s="5" t="s">
        <v>43</v>
      </c>
      <c r="B40">
        <v>147.5</v>
      </c>
      <c r="C40" s="6">
        <f>B40*$B$52</f>
        <v>284675</v>
      </c>
      <c r="D40">
        <v>125.5</v>
      </c>
      <c r="E40" s="6">
        <f>D40*$C$52</f>
        <v>284885</v>
      </c>
      <c r="F40" s="13">
        <v>180.5</v>
      </c>
      <c r="G40" s="6">
        <f>F40*$D$52</f>
        <v>471105</v>
      </c>
      <c r="H40">
        <v>313</v>
      </c>
      <c r="I40" s="6">
        <f>H40*$E$52</f>
        <v>923350</v>
      </c>
      <c r="J40" s="13">
        <v>2.5</v>
      </c>
      <c r="K40" s="6">
        <f>J40*$B$52</f>
        <v>4825</v>
      </c>
      <c r="L40" s="9">
        <v>2410209</v>
      </c>
      <c r="M40" s="6">
        <f>SUM(K40+I40+G40+E40+C40)</f>
        <v>1968840</v>
      </c>
      <c r="N40" s="3">
        <f>(M40-L40)/L40</f>
        <v>-0.18312478295450726</v>
      </c>
      <c r="O40" s="6">
        <f>IF(N40&lt;-0.04,L40*0.96,IF(N40&gt;0.04,L40*1.04,M40))</f>
        <v>2313800.64</v>
      </c>
      <c r="P40" s="10">
        <f>IF(O40=FALSE,M40,O40)</f>
        <v>2313800.64</v>
      </c>
      <c r="Q40" s="3">
        <f>(P40-L40)/L40</f>
        <v>-3.9999999999999945E-2</v>
      </c>
    </row>
    <row r="41" spans="1:17" x14ac:dyDescent="0.25">
      <c r="A41" s="5" t="s">
        <v>44</v>
      </c>
      <c r="B41">
        <v>48</v>
      </c>
      <c r="C41" s="6">
        <f>B41*$B$52</f>
        <v>92640</v>
      </c>
      <c r="D41">
        <v>135</v>
      </c>
      <c r="E41" s="6">
        <f>D41*$C$52</f>
        <v>306450</v>
      </c>
      <c r="F41" s="8">
        <v>125</v>
      </c>
      <c r="G41" s="6">
        <f>F41*$D$52</f>
        <v>326250</v>
      </c>
      <c r="H41">
        <v>250</v>
      </c>
      <c r="I41" s="6">
        <f>H41*$E$52</f>
        <v>737500</v>
      </c>
      <c r="J41" s="8"/>
      <c r="K41" s="6"/>
      <c r="L41" s="9">
        <v>1460713</v>
      </c>
      <c r="M41" s="6">
        <f>SUM(K41+I41+G41+E41+C41)</f>
        <v>1462840</v>
      </c>
      <c r="N41" s="3">
        <f>(M41-L41)/L41</f>
        <v>1.4561382010018396E-3</v>
      </c>
      <c r="O41" s="6">
        <f>IF(N41&lt;-0.04,L41*0.96,IF(N41&gt;0.04,L41*1.04,M41))</f>
        <v>1462840</v>
      </c>
      <c r="P41" s="10">
        <f>IF(O41=FALSE,M41,O41)</f>
        <v>1462840</v>
      </c>
      <c r="Q41" s="3">
        <f>(P41-L41)/L41</f>
        <v>1.4561382010018396E-3</v>
      </c>
    </row>
    <row r="42" spans="1:17" x14ac:dyDescent="0.25">
      <c r="B42" s="8"/>
      <c r="C42" s="6"/>
      <c r="E42" s="6"/>
      <c r="F42" s="8"/>
      <c r="G42" s="6"/>
      <c r="I42" s="6"/>
      <c r="J42" s="8"/>
      <c r="K42" s="6"/>
      <c r="M42" s="6"/>
      <c r="N42" s="3"/>
      <c r="O42" s="6"/>
      <c r="P42" s="10"/>
      <c r="Q42" s="3"/>
    </row>
    <row r="43" spans="1:17" x14ac:dyDescent="0.25">
      <c r="A43" s="47" t="s">
        <v>45</v>
      </c>
      <c r="B43" s="8"/>
      <c r="C43" s="6"/>
      <c r="E43" s="6"/>
      <c r="F43" s="8"/>
      <c r="G43" s="6"/>
      <c r="I43" s="6"/>
      <c r="J43" s="8"/>
      <c r="K43" s="6"/>
      <c r="M43" s="6"/>
      <c r="N43" s="3"/>
      <c r="O43" s="6"/>
      <c r="P43" s="10"/>
      <c r="Q43" s="3"/>
    </row>
    <row r="44" spans="1:17" x14ac:dyDescent="0.25">
      <c r="A44" s="5" t="s">
        <v>46</v>
      </c>
      <c r="B44">
        <v>32.5</v>
      </c>
      <c r="C44" s="6">
        <f>B44*$B$52</f>
        <v>62725</v>
      </c>
      <c r="D44">
        <v>24</v>
      </c>
      <c r="E44" s="6">
        <f t="shared" ref="E44:E45" si="18">D44*$C$52</f>
        <v>54480</v>
      </c>
      <c r="F44" s="8"/>
      <c r="G44" s="6"/>
      <c r="I44" s="6"/>
      <c r="J44" s="8"/>
      <c r="K44" s="6"/>
      <c r="L44" s="9">
        <v>151048</v>
      </c>
      <c r="M44" s="6">
        <f>SUM(K44+I44+G44+E44+C44)</f>
        <v>117205</v>
      </c>
      <c r="N44" s="3">
        <f>(M44-L44)/L44</f>
        <v>-0.22405460515862508</v>
      </c>
      <c r="O44" s="6">
        <f>IF(N44&lt;-0.04,L44*0.96,IF(N44&gt;0.04,L44*1.04,M44))</f>
        <v>145006.07999999999</v>
      </c>
      <c r="P44" s="10">
        <f>IF(O44=FALSE,M44,O44)</f>
        <v>145006.07999999999</v>
      </c>
      <c r="Q44" s="3">
        <f>(P44-L44)/L44</f>
        <v>-4.0000000000000084E-2</v>
      </c>
    </row>
    <row r="45" spans="1:17" x14ac:dyDescent="0.25">
      <c r="A45" s="5" t="s">
        <v>47</v>
      </c>
      <c r="B45">
        <v>490</v>
      </c>
      <c r="C45" s="6">
        <f>B45*$B$52</f>
        <v>945700</v>
      </c>
      <c r="E45" s="6">
        <f t="shared" si="18"/>
        <v>0</v>
      </c>
      <c r="F45" s="8"/>
      <c r="G45" s="6"/>
      <c r="I45" s="6"/>
      <c r="J45" s="8"/>
      <c r="K45" s="6"/>
      <c r="L45" s="9">
        <v>717977</v>
      </c>
      <c r="M45" s="6">
        <f>SUM(K45+I45+G45+E45+C45)</f>
        <v>945700</v>
      </c>
      <c r="N45" s="3">
        <f>(M45-L45)/L45</f>
        <v>0.31717311278773552</v>
      </c>
      <c r="O45" s="6">
        <f>IF(N45&lt;-0.04,L45*0.96,IF(N45&gt;0.04,L45*1.04,M45))</f>
        <v>746696.08000000007</v>
      </c>
      <c r="P45" s="10">
        <f>IF(O45=FALSE,M45,O45)</f>
        <v>746696.08000000007</v>
      </c>
      <c r="Q45" s="3">
        <f>(P45-L45)/L45</f>
        <v>4.0000000000000105E-2</v>
      </c>
    </row>
    <row r="46" spans="1:17" x14ac:dyDescent="0.25">
      <c r="A46" s="5" t="s">
        <v>48</v>
      </c>
      <c r="B46">
        <v>110</v>
      </c>
      <c r="C46" s="6">
        <f>B46*$B$52</f>
        <v>212300</v>
      </c>
      <c r="D46" s="4">
        <v>93.5</v>
      </c>
      <c r="E46" s="10">
        <f>D46*$B$52</f>
        <v>180455</v>
      </c>
      <c r="F46" s="14"/>
      <c r="G46" s="10"/>
      <c r="H46" s="4">
        <v>2</v>
      </c>
      <c r="I46" s="10">
        <f>H46*$B$52</f>
        <v>3860</v>
      </c>
      <c r="J46" s="8">
        <v>1</v>
      </c>
      <c r="K46" s="6">
        <f t="shared" ref="K46" si="19">J46*$B$52</f>
        <v>1930</v>
      </c>
      <c r="L46" s="9">
        <v>542250</v>
      </c>
      <c r="M46" s="6">
        <f>SUM(K46+I46+G46+E46+C46)</f>
        <v>398545</v>
      </c>
      <c r="N46" s="3">
        <f>(M46-L46)/L46</f>
        <v>-0.26501613646841865</v>
      </c>
      <c r="O46" s="6">
        <f>IF(N46&lt;-0.04,L46*0.96,IF(N46&gt;0.04,L46*1.04,M46))</f>
        <v>520560</v>
      </c>
      <c r="P46" s="10">
        <f>IF(O46=FALSE,M46,O46)</f>
        <v>520560</v>
      </c>
      <c r="Q46" s="3">
        <f>(P46-L46)/L46</f>
        <v>-0.04</v>
      </c>
    </row>
    <row r="47" spans="1:17" x14ac:dyDescent="0.25">
      <c r="A47" s="5"/>
      <c r="C47" s="6"/>
      <c r="D47" s="4"/>
      <c r="E47" s="10"/>
      <c r="F47" s="14"/>
      <c r="G47" s="10"/>
      <c r="H47" s="4"/>
      <c r="I47" s="10"/>
      <c r="J47" s="8"/>
      <c r="K47" s="6"/>
      <c r="L47" s="9"/>
      <c r="M47" s="6"/>
      <c r="N47" s="3"/>
      <c r="O47" s="6"/>
      <c r="P47" s="10"/>
      <c r="Q47" s="3"/>
    </row>
    <row r="48" spans="1:17" ht="18.75" x14ac:dyDescent="0.3">
      <c r="A48" s="48" t="s">
        <v>49</v>
      </c>
      <c r="B48" s="15">
        <f>SUM(B4:B46)</f>
        <v>17117.5</v>
      </c>
      <c r="C48" s="16">
        <f>SUM(C4:C46)</f>
        <v>33036775</v>
      </c>
      <c r="D48" s="15">
        <f>SUM(D4:D46)</f>
        <v>18981.5</v>
      </c>
      <c r="E48" s="16">
        <f>SUM(E4:E46)</f>
        <v>43056215</v>
      </c>
      <c r="F48" s="17">
        <f>SUM(F4:F41)</f>
        <v>8118</v>
      </c>
      <c r="G48" s="16">
        <f>SUM(G4:G41)</f>
        <v>21187980</v>
      </c>
      <c r="H48" s="15">
        <f>SUM(H4:H41)</f>
        <v>15466</v>
      </c>
      <c r="I48" s="16">
        <f>SUM(I4:I46)</f>
        <v>45622660</v>
      </c>
      <c r="J48" s="17">
        <f>SUM(J4:J41)</f>
        <v>174.5</v>
      </c>
      <c r="K48" s="16">
        <f>SUM(K4:K46)</f>
        <v>338715</v>
      </c>
      <c r="L48" s="16">
        <f>SUM(L4:L46)</f>
        <v>149735303</v>
      </c>
      <c r="M48" s="16">
        <f>SUM(K48+I48+G48+E48+C48)</f>
        <v>143242345</v>
      </c>
      <c r="N48" s="18">
        <f>(M48-L48)/L48</f>
        <v>-4.3362906875741923E-2</v>
      </c>
      <c r="O48" s="49">
        <f>SUM(O4:O46)</f>
        <v>147516099.96000001</v>
      </c>
      <c r="P48" s="19">
        <f>SUM(P4:P46)</f>
        <v>147516099.96000001</v>
      </c>
      <c r="Q48" s="18">
        <f>(P48-L48)/L48</f>
        <v>-1.4820840480083655E-2</v>
      </c>
    </row>
    <row r="49" spans="1:16" x14ac:dyDescent="0.25">
      <c r="A49" s="5"/>
      <c r="M49" s="7"/>
    </row>
    <row r="50" spans="1:16" x14ac:dyDescent="0.25">
      <c r="L50" s="20"/>
      <c r="P50" s="21" t="e">
        <f>#REF!</f>
        <v>#REF!</v>
      </c>
    </row>
    <row r="51" spans="1:16" x14ac:dyDescent="0.25">
      <c r="A51" s="5" t="s">
        <v>50</v>
      </c>
      <c r="B51" t="s">
        <v>51</v>
      </c>
      <c r="C51" t="s">
        <v>52</v>
      </c>
      <c r="D51" t="s">
        <v>53</v>
      </c>
      <c r="E51" t="s">
        <v>54</v>
      </c>
      <c r="L51" s="6"/>
      <c r="P51" s="4" t="s">
        <v>75</v>
      </c>
    </row>
    <row r="52" spans="1:16" x14ac:dyDescent="0.25">
      <c r="A52">
        <v>340</v>
      </c>
      <c r="B52" s="6">
        <v>1930</v>
      </c>
      <c r="C52" s="6">
        <f>B52+A52</f>
        <v>2270</v>
      </c>
      <c r="D52" s="6">
        <f>C52+A52</f>
        <v>2610</v>
      </c>
      <c r="E52" s="6">
        <f>D52+A52</f>
        <v>2950</v>
      </c>
    </row>
    <row r="56" spans="1:16" x14ac:dyDescent="0.25">
      <c r="A56" t="s">
        <v>56</v>
      </c>
      <c r="B56" s="6" t="e">
        <f>P50-P48</f>
        <v>#REF!</v>
      </c>
      <c r="J56" s="74" t="s">
        <v>61</v>
      </c>
      <c r="K56" s="74"/>
      <c r="M56" s="6">
        <f>'[1]-5%'!$F$40</f>
        <v>11054224.528168926</v>
      </c>
    </row>
    <row r="57" spans="1:16" x14ac:dyDescent="0.25">
      <c r="B57" s="9" t="e">
        <f>IF(B56&gt;=M58, TRUE, FALSE)</f>
        <v>#REF!</v>
      </c>
      <c r="J57" s="74" t="s">
        <v>60</v>
      </c>
      <c r="K57" s="74"/>
      <c r="M57" s="6" t="e">
        <f>#REF!</f>
        <v>#REF!</v>
      </c>
    </row>
    <row r="58" spans="1:16" x14ac:dyDescent="0.25">
      <c r="B58" s="6" t="e">
        <f>B56-M58</f>
        <v>#REF!</v>
      </c>
      <c r="M58" s="6" t="e">
        <f>M56+M57</f>
        <v>#REF!</v>
      </c>
    </row>
    <row r="59" spans="1:16" x14ac:dyDescent="0.25">
      <c r="A59" t="s">
        <v>57</v>
      </c>
    </row>
    <row r="60" spans="1:16" x14ac:dyDescent="0.25">
      <c r="B60" t="s">
        <v>51</v>
      </c>
      <c r="C60" t="s">
        <v>52</v>
      </c>
      <c r="D60" t="s">
        <v>53</v>
      </c>
      <c r="E60" t="s">
        <v>54</v>
      </c>
    </row>
    <row r="61" spans="1:16" x14ac:dyDescent="0.25">
      <c r="A61">
        <v>399</v>
      </c>
      <c r="B61" s="6">
        <v>2250</v>
      </c>
      <c r="C61" s="6">
        <v>2649</v>
      </c>
      <c r="D61" s="6">
        <v>3048</v>
      </c>
      <c r="E61" s="6">
        <v>3447</v>
      </c>
    </row>
  </sheetData>
  <mergeCells count="2">
    <mergeCell ref="J56:K56"/>
    <mergeCell ref="J57:K57"/>
  </mergeCells>
  <pageMargins left="0.7" right="0.7" top="0.75" bottom="0.75" header="0.3" footer="0.3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2840-E03C-42BB-AF06-5346EAFF3DFE}">
  <dimension ref="A1:M54"/>
  <sheetViews>
    <sheetView topLeftCell="A22" zoomScale="70" zoomScaleNormal="70" workbookViewId="0">
      <selection activeCell="I40" sqref="I40"/>
    </sheetView>
  </sheetViews>
  <sheetFormatPr defaultRowHeight="15" x14ac:dyDescent="0.25"/>
  <cols>
    <col min="1" max="1" width="42.140625" bestFit="1" customWidth="1"/>
    <col min="2" max="2" width="12.140625" hidden="1" customWidth="1"/>
    <col min="3" max="3" width="11.140625" hidden="1" customWidth="1"/>
    <col min="4" max="4" width="11.5703125" hidden="1" customWidth="1"/>
    <col min="5" max="5" width="10.140625" hidden="1" customWidth="1"/>
    <col min="6" max="7" width="10" hidden="1" customWidth="1"/>
    <col min="8" max="8" width="18.5703125" style="58" customWidth="1"/>
    <col min="9" max="10" width="18.5703125" customWidth="1"/>
  </cols>
  <sheetData>
    <row r="1" spans="1:13" x14ac:dyDescent="0.25">
      <c r="A1" s="22"/>
      <c r="B1" s="71" t="s">
        <v>82</v>
      </c>
      <c r="C1" s="72" t="s">
        <v>83</v>
      </c>
      <c r="D1" s="72" t="s">
        <v>84</v>
      </c>
      <c r="E1" s="72" t="s">
        <v>85</v>
      </c>
      <c r="F1" s="72" t="s">
        <v>86</v>
      </c>
      <c r="G1" s="41"/>
      <c r="H1" s="59" t="s">
        <v>78</v>
      </c>
      <c r="I1" s="60" t="s">
        <v>79</v>
      </c>
      <c r="J1" s="61" t="s">
        <v>90</v>
      </c>
    </row>
    <row r="2" spans="1:13" x14ac:dyDescent="0.25">
      <c r="A2" s="24" t="s">
        <v>9</v>
      </c>
      <c r="B2" s="25"/>
      <c r="C2" s="26"/>
      <c r="D2" s="26"/>
      <c r="E2" s="26"/>
      <c r="F2" s="26"/>
      <c r="G2" s="26"/>
      <c r="H2" s="57"/>
      <c r="I2" s="26"/>
      <c r="J2" s="26"/>
    </row>
    <row r="3" spans="1:13" x14ac:dyDescent="0.25">
      <c r="A3" s="27" t="s">
        <v>10</v>
      </c>
      <c r="B3" s="28">
        <f>'20-21 UG Grant -2+7% R1 2%'!P4</f>
        <v>2214621.64</v>
      </c>
      <c r="C3" s="29"/>
      <c r="D3" s="29">
        <v>451522.40458727261</v>
      </c>
      <c r="E3" s="29">
        <v>60687.148388982248</v>
      </c>
      <c r="F3" s="29"/>
      <c r="G3" s="29"/>
      <c r="H3" s="57">
        <v>2704233.0129762548</v>
      </c>
      <c r="I3" s="30">
        <f t="shared" ref="I3:I14" si="0">SUM(B3:F3)</f>
        <v>2726831.192976255</v>
      </c>
      <c r="J3" s="52">
        <f t="shared" ref="J3:J14" si="1">I3/H3-1</f>
        <v>8.356594972239062E-3</v>
      </c>
      <c r="M3" s="36"/>
    </row>
    <row r="4" spans="1:13" x14ac:dyDescent="0.25">
      <c r="A4" s="27" t="s">
        <v>11</v>
      </c>
      <c r="B4" s="28">
        <f>'20-21 UG Grant -2+7% R1 2%'!P5</f>
        <v>8403488</v>
      </c>
      <c r="C4" s="29">
        <f>'[1]+2%'!$F$30</f>
        <v>16282.123842592591</v>
      </c>
      <c r="D4" s="29">
        <v>981736.49195280194</v>
      </c>
      <c r="E4" s="29">
        <v>268822.60539197776</v>
      </c>
      <c r="F4" s="29">
        <v>4648</v>
      </c>
      <c r="G4" s="29"/>
      <c r="H4" s="57">
        <v>9378872.4111873712</v>
      </c>
      <c r="I4" s="30">
        <f t="shared" si="0"/>
        <v>9674977.2211873718</v>
      </c>
      <c r="J4" s="52">
        <f t="shared" si="1"/>
        <v>3.157147224295298E-2</v>
      </c>
    </row>
    <row r="5" spans="1:13" x14ac:dyDescent="0.25">
      <c r="A5" s="27" t="s">
        <v>12</v>
      </c>
      <c r="B5" s="28">
        <f>'20-21 UG Grant -2+7% R1 2%'!P6</f>
        <v>1731627.01</v>
      </c>
      <c r="C5" s="29">
        <f>'[1]+2%'!$F$35</f>
        <v>557203.25033258821</v>
      </c>
      <c r="D5" s="29">
        <v>509690.82999167091</v>
      </c>
      <c r="E5" s="29">
        <v>84203.989186819614</v>
      </c>
      <c r="F5" s="29"/>
      <c r="G5" s="29"/>
      <c r="H5" s="57">
        <v>2815148.0695110788</v>
      </c>
      <c r="I5" s="30">
        <f t="shared" si="0"/>
        <v>2882725.0795110785</v>
      </c>
      <c r="J5" s="52">
        <f t="shared" si="1"/>
        <v>2.4004779972989665E-2</v>
      </c>
    </row>
    <row r="6" spans="1:13" x14ac:dyDescent="0.25">
      <c r="A6" s="27" t="s">
        <v>13</v>
      </c>
      <c r="B6" s="28">
        <f>'20-21 UG Grant -2+7% R1 2%'!P7</f>
        <v>13846959.5</v>
      </c>
      <c r="C6" s="29">
        <f>'[1]+2%'!$F$34</f>
        <v>1461849.5616104223</v>
      </c>
      <c r="D6" s="29">
        <v>2313550.3385135531</v>
      </c>
      <c r="E6" s="29">
        <v>581185.61408635927</v>
      </c>
      <c r="F6" s="29"/>
      <c r="G6" s="29"/>
      <c r="H6" s="57">
        <v>17557155.514210336</v>
      </c>
      <c r="I6" s="30">
        <f t="shared" si="0"/>
        <v>18203545.014210336</v>
      </c>
      <c r="J6" s="52">
        <f t="shared" si="1"/>
        <v>3.6816299740400904E-2</v>
      </c>
    </row>
    <row r="7" spans="1:13" x14ac:dyDescent="0.25">
      <c r="A7" s="27" t="s">
        <v>14</v>
      </c>
      <c r="B7" s="28">
        <f>'20-21 UG Grant -2+7% R1 2%'!P8</f>
        <v>4507108.5</v>
      </c>
      <c r="C7" s="29">
        <f>'[1]+2%'!$F$31</f>
        <v>81852.4765625</v>
      </c>
      <c r="D7" s="29">
        <v>869832.01582231314</v>
      </c>
      <c r="E7" s="29">
        <v>128010.30000000002</v>
      </c>
      <c r="F7" s="29"/>
      <c r="G7" s="29"/>
      <c r="H7" s="57">
        <v>5521360.6823848123</v>
      </c>
      <c r="I7" s="30">
        <f t="shared" si="0"/>
        <v>5586803.2923848126</v>
      </c>
      <c r="J7" s="52">
        <f t="shared" si="1"/>
        <v>1.1852623613013868E-2</v>
      </c>
    </row>
    <row r="8" spans="1:13" x14ac:dyDescent="0.25">
      <c r="A8" s="27" t="s">
        <v>15</v>
      </c>
      <c r="B8" s="28">
        <f>'20-21 UG Grant -2+7% R1 2%'!P9</f>
        <v>1467607.82</v>
      </c>
      <c r="C8" s="29"/>
      <c r="D8" s="29">
        <v>353591.333356908</v>
      </c>
      <c r="E8" s="29">
        <v>54065.90195075619</v>
      </c>
      <c r="F8" s="29"/>
      <c r="G8" s="29"/>
      <c r="H8" s="57">
        <v>1860289.4653076641</v>
      </c>
      <c r="I8" s="30">
        <f t="shared" si="0"/>
        <v>1875265.0553076642</v>
      </c>
      <c r="J8" s="52">
        <f t="shared" si="1"/>
        <v>8.0501396579824025E-3</v>
      </c>
    </row>
    <row r="9" spans="1:13" x14ac:dyDescent="0.25">
      <c r="A9" s="27" t="s">
        <v>16</v>
      </c>
      <c r="B9" s="28">
        <f>'20-21 UG Grant -2+7% R1 2%'!P10</f>
        <v>21988414</v>
      </c>
      <c r="C9" s="29">
        <f>'[1]+2%'!$F$29</f>
        <v>60525.447124756342</v>
      </c>
      <c r="D9" s="29">
        <v>2708394.1898773289</v>
      </c>
      <c r="E9" s="29">
        <v>609679.80565500108</v>
      </c>
      <c r="F9" s="29"/>
      <c r="G9" s="29"/>
      <c r="H9" s="57">
        <v>24336719.442657087</v>
      </c>
      <c r="I9" s="30">
        <f t="shared" si="0"/>
        <v>25367013.442657087</v>
      </c>
      <c r="J9" s="52">
        <f t="shared" si="1"/>
        <v>4.233495818643962E-2</v>
      </c>
    </row>
    <row r="10" spans="1:13" x14ac:dyDescent="0.25">
      <c r="A10" s="27" t="s">
        <v>17</v>
      </c>
      <c r="B10" s="28">
        <f>'20-21 UG Grant -2+7% R1 2%'!P11</f>
        <v>11284558.120000001</v>
      </c>
      <c r="C10" s="29">
        <f>'[1]+2%'!$F$33</f>
        <v>728762.92796723242</v>
      </c>
      <c r="D10" s="29">
        <v>2005879.770890553</v>
      </c>
      <c r="E10" s="29">
        <v>454057.68247241905</v>
      </c>
      <c r="F10" s="29"/>
      <c r="G10" s="29"/>
      <c r="H10" s="57">
        <v>14262332.181330204</v>
      </c>
      <c r="I10" s="30">
        <f t="shared" si="0"/>
        <v>14473258.501330204</v>
      </c>
      <c r="J10" s="52">
        <f t="shared" si="1"/>
        <v>1.4789048335033694E-2</v>
      </c>
    </row>
    <row r="11" spans="1:13" x14ac:dyDescent="0.25">
      <c r="A11" s="27" t="s">
        <v>18</v>
      </c>
      <c r="B11" s="28">
        <f>'20-21 UG Grant -2+7% R1 2%'!P12</f>
        <v>9567887.5700000003</v>
      </c>
      <c r="C11" s="29">
        <f>'[1]+2%'!$F$28</f>
        <v>247745.9939854384</v>
      </c>
      <c r="D11" s="29">
        <v>883750.63231467817</v>
      </c>
      <c r="E11" s="29">
        <v>293560.30000000005</v>
      </c>
      <c r="F11" s="29"/>
      <c r="G11" s="29"/>
      <c r="H11" s="57">
        <v>10604806.926300118</v>
      </c>
      <c r="I11" s="30">
        <f t="shared" si="0"/>
        <v>10992944.496300118</v>
      </c>
      <c r="J11" s="52">
        <f t="shared" si="1"/>
        <v>3.6600154316568601E-2</v>
      </c>
    </row>
    <row r="12" spans="1:13" x14ac:dyDescent="0.25">
      <c r="A12" s="27" t="s">
        <v>19</v>
      </c>
      <c r="B12" s="28">
        <f>'20-21 UG Grant -2+7% R1 2%'!P13</f>
        <v>12076878.140000001</v>
      </c>
      <c r="C12" s="29">
        <f>'[1]+2%'!$F$38</f>
        <v>6570424.4330149554</v>
      </c>
      <c r="D12" s="29">
        <v>1105772.5119728209</v>
      </c>
      <c r="E12" s="29">
        <v>338779.10000000003</v>
      </c>
      <c r="F12" s="29"/>
      <c r="G12" s="29"/>
      <c r="H12" s="57">
        <v>19866118.144987777</v>
      </c>
      <c r="I12" s="30">
        <f t="shared" si="0"/>
        <v>20091854.18498778</v>
      </c>
      <c r="J12" s="52">
        <f t="shared" si="1"/>
        <v>1.1362866079448697E-2</v>
      </c>
    </row>
    <row r="13" spans="1:13" x14ac:dyDescent="0.25">
      <c r="A13" s="27" t="s">
        <v>20</v>
      </c>
      <c r="B13" s="28">
        <f>'20-21 UG Grant -2+7% R1 2%'!P14</f>
        <v>7789613.9100000001</v>
      </c>
      <c r="C13" s="29">
        <f>'[1]+2%'!$F$32</f>
        <v>373676.21296296298</v>
      </c>
      <c r="D13" s="29">
        <v>1282609.3317626945</v>
      </c>
      <c r="E13" s="29">
        <v>271882.0778841236</v>
      </c>
      <c r="F13" s="29"/>
      <c r="G13" s="29"/>
      <c r="H13" s="57">
        <v>9572181.2726097796</v>
      </c>
      <c r="I13" s="30">
        <f t="shared" si="0"/>
        <v>9717781.5326097794</v>
      </c>
      <c r="J13" s="52">
        <f t="shared" si="1"/>
        <v>1.5210771281215285E-2</v>
      </c>
    </row>
    <row r="14" spans="1:13" x14ac:dyDescent="0.25">
      <c r="A14" s="27" t="s">
        <v>21</v>
      </c>
      <c r="B14" s="28">
        <f>'20-21 UG Grant -2+7% R1 2%'!P15</f>
        <v>1283991.1000000001</v>
      </c>
      <c r="C14" s="29">
        <f>'[1]+2%'!$F$26</f>
        <v>8500</v>
      </c>
      <c r="D14" s="29">
        <v>281160.58349565283</v>
      </c>
      <c r="E14" s="29">
        <v>49431.029443997955</v>
      </c>
      <c r="F14" s="29"/>
      <c r="G14" s="29"/>
      <c r="H14" s="57">
        <v>1609980.7629396506</v>
      </c>
      <c r="I14" s="30">
        <f t="shared" si="0"/>
        <v>1623082.7129396508</v>
      </c>
      <c r="J14" s="52">
        <f t="shared" si="1"/>
        <v>8.137954379080492E-3</v>
      </c>
    </row>
    <row r="15" spans="1:13" x14ac:dyDescent="0.25">
      <c r="A15" s="26"/>
      <c r="B15" s="28"/>
      <c r="C15" s="29"/>
      <c r="D15" s="29"/>
      <c r="E15" s="29"/>
      <c r="F15" s="29"/>
      <c r="G15" s="29"/>
      <c r="H15" s="57"/>
      <c r="I15" s="30"/>
      <c r="J15" s="52"/>
    </row>
    <row r="16" spans="1:13" x14ac:dyDescent="0.25">
      <c r="A16" s="56" t="s">
        <v>22</v>
      </c>
      <c r="B16" s="28"/>
      <c r="C16" s="29"/>
      <c r="D16" s="29"/>
      <c r="E16" s="29"/>
      <c r="F16" s="29"/>
      <c r="G16" s="29"/>
      <c r="H16" s="57"/>
      <c r="I16" s="30"/>
      <c r="J16" s="52"/>
    </row>
    <row r="17" spans="1:10" x14ac:dyDescent="0.25">
      <c r="A17" s="27" t="s">
        <v>23</v>
      </c>
      <c r="B17" s="28">
        <f>'20-21 UG Grant -2+7% R1 2%'!P18</f>
        <v>2944065.04</v>
      </c>
      <c r="C17" s="29"/>
      <c r="D17" s="29">
        <v>457438.94767969608</v>
      </c>
      <c r="E17" s="29">
        <v>102903.9518375</v>
      </c>
      <c r="F17" s="29">
        <v>35497</v>
      </c>
      <c r="G17" s="29"/>
      <c r="H17" s="57">
        <v>3509863.4595171963</v>
      </c>
      <c r="I17" s="30">
        <f t="shared" ref="I17:I29" si="2">SUM(B17:F17)</f>
        <v>3539904.9395171963</v>
      </c>
      <c r="J17" s="52">
        <f t="shared" ref="J17:J29" si="3">I17/H17-1</f>
        <v>8.5591591657336874E-3</v>
      </c>
    </row>
    <row r="18" spans="1:10" x14ac:dyDescent="0.25">
      <c r="A18" s="27" t="s">
        <v>24</v>
      </c>
      <c r="B18" s="28">
        <f>'20-21 UG Grant -2+7% R1 2%'!P19</f>
        <v>482457.5</v>
      </c>
      <c r="C18" s="29"/>
      <c r="D18" s="29">
        <v>88646.979737853442</v>
      </c>
      <c r="E18" s="29">
        <v>18513.56595</v>
      </c>
      <c r="F18" s="29">
        <v>2536</v>
      </c>
      <c r="G18" s="29"/>
      <c r="H18" s="57">
        <v>571877.29568785336</v>
      </c>
      <c r="I18" s="30">
        <f t="shared" si="2"/>
        <v>592154.04568785336</v>
      </c>
      <c r="J18" s="52">
        <f t="shared" si="3"/>
        <v>3.5456469688329051E-2</v>
      </c>
    </row>
    <row r="19" spans="1:10" x14ac:dyDescent="0.25">
      <c r="A19" s="27" t="s">
        <v>25</v>
      </c>
      <c r="B19" s="28">
        <f>'20-21 UG Grant -2+7% R1 2%'!P20</f>
        <v>3774802.2199999997</v>
      </c>
      <c r="C19" s="29"/>
      <c r="D19" s="29">
        <v>403345.35745356907</v>
      </c>
      <c r="E19" s="29">
        <v>113040.65901950756</v>
      </c>
      <c r="F19" s="29">
        <v>15794</v>
      </c>
      <c r="G19" s="29"/>
      <c r="H19" s="57">
        <v>4268463.8464730764</v>
      </c>
      <c r="I19" s="30">
        <f t="shared" si="2"/>
        <v>4306982.236473076</v>
      </c>
      <c r="J19" s="52">
        <f t="shared" si="3"/>
        <v>9.0239466434338667E-3</v>
      </c>
    </row>
    <row r="20" spans="1:10" x14ac:dyDescent="0.25">
      <c r="A20" s="27" t="s">
        <v>26</v>
      </c>
      <c r="B20" s="28">
        <f>'20-21 UG Grant -2+7% R1 2%'!P21</f>
        <v>5233468.5199999996</v>
      </c>
      <c r="C20" s="29"/>
      <c r="D20" s="29">
        <v>939169.91166596045</v>
      </c>
      <c r="E20" s="29">
        <v>153338.93475560751</v>
      </c>
      <c r="F20" s="29">
        <v>14843</v>
      </c>
      <c r="G20" s="29"/>
      <c r="H20" s="57">
        <v>6287417.626421568</v>
      </c>
      <c r="I20" s="30">
        <f t="shared" si="2"/>
        <v>6340820.3664215673</v>
      </c>
      <c r="J20" s="52">
        <f t="shared" si="3"/>
        <v>8.4935888107042778E-3</v>
      </c>
    </row>
    <row r="21" spans="1:10" x14ac:dyDescent="0.25">
      <c r="A21" s="27" t="s">
        <v>27</v>
      </c>
      <c r="B21" s="28">
        <f>'20-21 UG Grant -2+7% R1 2%'!P22</f>
        <v>8781192</v>
      </c>
      <c r="C21" s="29"/>
      <c r="D21" s="29">
        <v>1205946.9113027691</v>
      </c>
      <c r="E21" s="29">
        <v>288891.83166508365</v>
      </c>
      <c r="F21" s="29">
        <v>88056</v>
      </c>
      <c r="G21" s="29"/>
      <c r="H21" s="57">
        <v>10274482.742967853</v>
      </c>
      <c r="I21" s="30">
        <f t="shared" si="2"/>
        <v>10364086.742967853</v>
      </c>
      <c r="J21" s="52">
        <f t="shared" si="3"/>
        <v>8.7210229693877039E-3</v>
      </c>
    </row>
    <row r="22" spans="1:10" x14ac:dyDescent="0.25">
      <c r="A22" s="27" t="s">
        <v>28</v>
      </c>
      <c r="B22" s="28">
        <f>'20-21 UG Grant -2+7% R1 2%'!P23</f>
        <v>571147</v>
      </c>
      <c r="C22" s="29"/>
      <c r="D22" s="29">
        <v>129859.65836874406</v>
      </c>
      <c r="E22" s="29">
        <v>16644.443632644117</v>
      </c>
      <c r="F22" s="29">
        <v>1849</v>
      </c>
      <c r="G22" s="29"/>
      <c r="H22" s="57">
        <v>693413.10200138821</v>
      </c>
      <c r="I22" s="30">
        <f t="shared" si="2"/>
        <v>719500.10200138821</v>
      </c>
      <c r="J22" s="52">
        <f t="shared" si="3"/>
        <v>3.7621152419395454E-2</v>
      </c>
    </row>
    <row r="23" spans="1:10" x14ac:dyDescent="0.25">
      <c r="A23" s="27" t="s">
        <v>29</v>
      </c>
      <c r="B23" s="28">
        <f>'20-21 UG Grant -2+7% R1 2%'!P24</f>
        <v>644401.93999999994</v>
      </c>
      <c r="C23" s="29"/>
      <c r="D23" s="29">
        <v>143531.4330027033</v>
      </c>
      <c r="E23" s="29">
        <v>17350.421630303845</v>
      </c>
      <c r="F23" s="29">
        <v>7395</v>
      </c>
      <c r="G23" s="29"/>
      <c r="H23" s="57">
        <v>806103.26463300711</v>
      </c>
      <c r="I23" s="30">
        <f t="shared" si="2"/>
        <v>812678.79463300714</v>
      </c>
      <c r="J23" s="52">
        <f t="shared" si="3"/>
        <v>8.1571807093396842E-3</v>
      </c>
    </row>
    <row r="24" spans="1:10" x14ac:dyDescent="0.25">
      <c r="A24" s="27" t="s">
        <v>30</v>
      </c>
      <c r="B24" s="28">
        <f>'20-21 UG Grant -2+7% R1 2%'!P25</f>
        <v>848829.94</v>
      </c>
      <c r="C24" s="29"/>
      <c r="D24" s="29">
        <v>200387.39303338935</v>
      </c>
      <c r="E24" s="29">
        <v>35252.429312486296</v>
      </c>
      <c r="F24" s="29">
        <v>7712</v>
      </c>
      <c r="G24" s="29"/>
      <c r="H24" s="57">
        <v>1083520.2323458756</v>
      </c>
      <c r="I24" s="30">
        <f t="shared" si="2"/>
        <v>1092181.7623458756</v>
      </c>
      <c r="J24" s="52">
        <f t="shared" si="3"/>
        <v>7.9938793401646002E-3</v>
      </c>
    </row>
    <row r="25" spans="1:10" x14ac:dyDescent="0.25">
      <c r="A25" s="27" t="s">
        <v>31</v>
      </c>
      <c r="B25" s="28">
        <f>'20-21 UG Grant -2+7% R1 2%'!P26</f>
        <v>1074493</v>
      </c>
      <c r="C25" s="29"/>
      <c r="D25" s="29">
        <v>230328.33897742385</v>
      </c>
      <c r="E25" s="29">
        <v>30868.707532695258</v>
      </c>
      <c r="F25" s="29">
        <v>9138</v>
      </c>
      <c r="G25" s="29"/>
      <c r="H25" s="57">
        <v>1295675.0465101192</v>
      </c>
      <c r="I25" s="30">
        <f t="shared" si="2"/>
        <v>1344828.0465101192</v>
      </c>
      <c r="J25" s="52">
        <f t="shared" si="3"/>
        <v>3.7936209493570905E-2</v>
      </c>
    </row>
    <row r="26" spans="1:10" x14ac:dyDescent="0.25">
      <c r="A26" s="27" t="s">
        <v>32</v>
      </c>
      <c r="B26" s="28">
        <f>'20-21 UG Grant -2+7% R1 2%'!P27</f>
        <v>10692585.970000001</v>
      </c>
      <c r="C26" s="29"/>
      <c r="D26" s="29">
        <v>1161612.2746189814</v>
      </c>
      <c r="E26" s="29">
        <v>288366.69832687953</v>
      </c>
      <c r="F26" s="29">
        <v>50657</v>
      </c>
      <c r="G26" s="29"/>
      <c r="H26" s="57">
        <v>11745335.972945862</v>
      </c>
      <c r="I26" s="30">
        <f t="shared" si="2"/>
        <v>12193221.942945862</v>
      </c>
      <c r="J26" s="52">
        <f t="shared" si="3"/>
        <v>3.8133091384670248E-2</v>
      </c>
    </row>
    <row r="27" spans="1:10" x14ac:dyDescent="0.25">
      <c r="A27" s="27" t="s">
        <v>33</v>
      </c>
      <c r="B27" s="28">
        <f>'20-21 UG Grant -2+7% R1 2%'!P28</f>
        <v>4661484.66</v>
      </c>
      <c r="C27" s="29"/>
      <c r="D27" s="29">
        <v>824538.05424775335</v>
      </c>
      <c r="E27" s="29">
        <v>121397.12866223423</v>
      </c>
      <c r="F27" s="29">
        <v>68564</v>
      </c>
      <c r="G27" s="29"/>
      <c r="H27" s="57">
        <v>5628417.6729099881</v>
      </c>
      <c r="I27" s="30">
        <f t="shared" si="2"/>
        <v>5675983.842909988</v>
      </c>
      <c r="J27" s="52">
        <f t="shared" si="3"/>
        <v>8.4510732437181879E-3</v>
      </c>
    </row>
    <row r="28" spans="1:10" x14ac:dyDescent="0.25">
      <c r="A28" s="27" t="s">
        <v>34</v>
      </c>
      <c r="B28" s="28">
        <f>'20-21 UG Grant -2+7% R1 2%'!P29</f>
        <v>3739947.54</v>
      </c>
      <c r="C28" s="29">
        <f>'[1]+2%'!$F$39</f>
        <v>65952.680555555562</v>
      </c>
      <c r="D28" s="29">
        <v>477356.47063103673</v>
      </c>
      <c r="E28" s="29">
        <v>117150.39818806166</v>
      </c>
      <c r="F28" s="29">
        <v>59109</v>
      </c>
      <c r="G28" s="29"/>
      <c r="H28" s="57">
        <v>4421353.3593746545</v>
      </c>
      <c r="I28" s="30">
        <f t="shared" si="2"/>
        <v>4459516.089374654</v>
      </c>
      <c r="J28" s="52">
        <f t="shared" si="3"/>
        <v>8.6314589443710066E-3</v>
      </c>
    </row>
    <row r="29" spans="1:10" x14ac:dyDescent="0.25">
      <c r="A29" s="27" t="s">
        <v>35</v>
      </c>
      <c r="B29" s="28">
        <f>'20-21 UG Grant -2+7% R1 2%'!P30</f>
        <v>1214332.5</v>
      </c>
      <c r="C29" s="29"/>
      <c r="D29" s="29">
        <v>372721.66287930153</v>
      </c>
      <c r="E29" s="29">
        <v>30526.229268649084</v>
      </c>
      <c r="F29" s="29">
        <v>8927</v>
      </c>
      <c r="G29" s="29"/>
      <c r="H29" s="57">
        <v>1570884.8921479506</v>
      </c>
      <c r="I29" s="30">
        <f t="shared" si="2"/>
        <v>1626507.3921479506</v>
      </c>
      <c r="J29" s="52">
        <f t="shared" si="3"/>
        <v>3.5408386876739639E-2</v>
      </c>
    </row>
    <row r="30" spans="1:10" x14ac:dyDescent="0.25">
      <c r="A30" s="26"/>
      <c r="B30" s="28"/>
      <c r="C30" s="29"/>
      <c r="D30" s="29"/>
      <c r="E30" s="29"/>
      <c r="F30" s="29"/>
      <c r="G30" s="29"/>
      <c r="H30" s="57"/>
      <c r="I30" s="30"/>
      <c r="J30" s="52"/>
    </row>
    <row r="31" spans="1:10" x14ac:dyDescent="0.25">
      <c r="A31" s="56" t="s">
        <v>36</v>
      </c>
      <c r="B31" s="28"/>
      <c r="C31" s="29"/>
      <c r="D31" s="29"/>
      <c r="E31" s="29"/>
      <c r="F31" s="29"/>
      <c r="G31" s="29"/>
      <c r="H31" s="57"/>
      <c r="I31" s="30"/>
      <c r="J31" s="52"/>
    </row>
    <row r="32" spans="1:10" x14ac:dyDescent="0.25">
      <c r="A32" s="27" t="s">
        <v>37</v>
      </c>
      <c r="B32" s="28">
        <f>'20-21 UG Grant -2+7% R1 2%'!P33</f>
        <v>3874767.4600000004</v>
      </c>
      <c r="C32" s="29"/>
      <c r="D32" s="29">
        <v>405166.28974486736</v>
      </c>
      <c r="E32" s="29">
        <v>112195.87930152699</v>
      </c>
      <c r="F32" s="29">
        <v>20865</v>
      </c>
      <c r="G32" s="29"/>
      <c r="H32" s="57">
        <v>4340569.069046394</v>
      </c>
      <c r="I32" s="30">
        <f t="shared" ref="I32:I40" si="4">SUM(B32:F32)</f>
        <v>4412994.6290463945</v>
      </c>
      <c r="J32" s="52">
        <f>I32/H32-1</f>
        <v>1.6685729186176168E-2</v>
      </c>
    </row>
    <row r="33" spans="1:10" x14ac:dyDescent="0.25">
      <c r="A33" s="27" t="s">
        <v>38</v>
      </c>
      <c r="B33" s="28">
        <f>'20-21 UG Grant -2+7% R1 2%'!P34</f>
        <v>2253168</v>
      </c>
      <c r="C33" s="29"/>
      <c r="D33" s="29">
        <v>189928.17162292686</v>
      </c>
      <c r="E33" s="29">
        <v>67559.545554175493</v>
      </c>
      <c r="F33" s="29">
        <v>16639</v>
      </c>
      <c r="G33" s="29"/>
      <c r="H33" s="57">
        <v>2424846.7171771023</v>
      </c>
      <c r="I33" s="30">
        <f t="shared" si="4"/>
        <v>2527294.7171771023</v>
      </c>
      <c r="J33" s="52">
        <f>I33/H33-1</f>
        <v>4.2249268489542136E-2</v>
      </c>
    </row>
    <row r="34" spans="1:10" x14ac:dyDescent="0.25">
      <c r="A34" s="26"/>
      <c r="B34" s="28"/>
      <c r="C34" s="29"/>
      <c r="D34" s="29"/>
      <c r="E34" s="29"/>
      <c r="F34" s="29"/>
      <c r="G34" s="29"/>
      <c r="H34" s="57"/>
      <c r="I34" s="30"/>
      <c r="J34" s="52"/>
    </row>
    <row r="35" spans="1:10" x14ac:dyDescent="0.25">
      <c r="A35" s="56" t="s">
        <v>39</v>
      </c>
      <c r="B35" s="28"/>
      <c r="C35" s="29"/>
      <c r="D35" s="29"/>
      <c r="E35" s="29"/>
      <c r="F35" s="29"/>
      <c r="G35" s="29"/>
      <c r="H35" s="57"/>
      <c r="I35" s="30"/>
      <c r="J35" s="52"/>
    </row>
    <row r="36" spans="1:10" x14ac:dyDescent="0.25">
      <c r="A36" s="27" t="s">
        <v>40</v>
      </c>
      <c r="B36" s="28">
        <f>'20-21 UG Grant -2+7% R1 2%'!L37</f>
        <v>2167621</v>
      </c>
      <c r="C36" s="29">
        <f>'[1]+2%'!$F$27</f>
        <v>9037.3888888888887</v>
      </c>
      <c r="D36" s="29">
        <v>250213.73299970775</v>
      </c>
      <c r="E36" s="29">
        <v>74226.45576094104</v>
      </c>
      <c r="F36" s="29"/>
      <c r="G36" s="29"/>
      <c r="H36" s="57">
        <v>2609479.6276495378</v>
      </c>
      <c r="I36" s="30">
        <f t="shared" si="4"/>
        <v>2501098.5776495375</v>
      </c>
      <c r="J36" s="52">
        <f>I36/H36-1</f>
        <v>-4.1533587329678934E-2</v>
      </c>
    </row>
    <row r="37" spans="1:10" x14ac:dyDescent="0.25">
      <c r="A37" s="27" t="s">
        <v>41</v>
      </c>
      <c r="B37" s="28">
        <f>'20-21 UG Grant -2+7% R1 2%'!L38</f>
        <v>158879</v>
      </c>
      <c r="C37" s="29"/>
      <c r="D37" s="29">
        <v>157049.98986892673</v>
      </c>
      <c r="E37" s="29">
        <v>8946.2197331576353</v>
      </c>
      <c r="F37" s="29"/>
      <c r="G37" s="29"/>
      <c r="H37" s="57">
        <v>320108.83960208436</v>
      </c>
      <c r="I37" s="30">
        <f t="shared" si="4"/>
        <v>324875.20960208436</v>
      </c>
      <c r="J37" s="52">
        <f>I37/H37-1</f>
        <v>1.4889841861052355E-2</v>
      </c>
    </row>
    <row r="38" spans="1:10" x14ac:dyDescent="0.25">
      <c r="A38" s="27" t="s">
        <v>42</v>
      </c>
      <c r="B38" s="28">
        <f>'20-21 UG Grant -2+7% R1 2%'!L39</f>
        <v>126850</v>
      </c>
      <c r="C38" s="29"/>
      <c r="D38" s="29">
        <v>33026.194538905533</v>
      </c>
      <c r="E38" s="29">
        <v>1765.8550250000001</v>
      </c>
      <c r="F38" s="29"/>
      <c r="G38" s="29"/>
      <c r="H38" s="57">
        <v>167984.54956390552</v>
      </c>
      <c r="I38" s="30">
        <f t="shared" si="4"/>
        <v>161642.04956390552</v>
      </c>
      <c r="J38" s="52">
        <f>I38/H38-1</f>
        <v>-3.7756448533304843E-2</v>
      </c>
    </row>
    <row r="39" spans="1:10" x14ac:dyDescent="0.25">
      <c r="A39" s="27" t="s">
        <v>43</v>
      </c>
      <c r="B39" s="28">
        <f>'20-21 UG Grant -2+7% R1 2%'!L40</f>
        <v>2410209</v>
      </c>
      <c r="C39" s="29">
        <f>'[1]+2%'!$F$37</f>
        <v>1442689.8222039773</v>
      </c>
      <c r="D39" s="29">
        <v>541132.95935464313</v>
      </c>
      <c r="E39" s="29">
        <v>88970.686655066253</v>
      </c>
      <c r="F39" s="29"/>
      <c r="G39" s="29"/>
      <c r="H39" s="57">
        <v>4410696.1982136862</v>
      </c>
      <c r="I39" s="30">
        <f t="shared" si="4"/>
        <v>4483002.4682136858</v>
      </c>
      <c r="J39" s="52">
        <f>I39/H39-1</f>
        <v>1.6393391598651386E-2</v>
      </c>
    </row>
    <row r="40" spans="1:10" s="81" customFormat="1" x14ac:dyDescent="0.25">
      <c r="A40" s="75" t="s">
        <v>44</v>
      </c>
      <c r="B40" s="76">
        <f>'20-21 UG Grant -2+7% R1 2%'!L41</f>
        <v>1460713</v>
      </c>
      <c r="C40" s="77">
        <f>'[1]+2%'!$F$36</f>
        <v>239248.75284659659</v>
      </c>
      <c r="D40" s="77">
        <v>539077.41064170375</v>
      </c>
      <c r="E40" s="77">
        <v>64134.762913713748</v>
      </c>
      <c r="F40" s="77"/>
      <c r="G40" s="77"/>
      <c r="H40" s="78">
        <v>2245563</v>
      </c>
      <c r="I40" s="79">
        <f t="shared" si="4"/>
        <v>2303173.9264020142</v>
      </c>
      <c r="J40" s="80">
        <f>I40/H40-1</f>
        <v>2.5655448723555851E-2</v>
      </c>
    </row>
    <row r="41" spans="1:10" x14ac:dyDescent="0.25">
      <c r="A41" s="26"/>
      <c r="B41" s="28"/>
      <c r="C41" s="29"/>
      <c r="D41" s="29"/>
      <c r="E41" s="29"/>
      <c r="F41" s="29"/>
      <c r="G41" s="29"/>
      <c r="H41" s="57"/>
      <c r="I41" s="30"/>
      <c r="J41" s="52"/>
    </row>
    <row r="42" spans="1:10" x14ac:dyDescent="0.25">
      <c r="A42" s="56" t="s">
        <v>45</v>
      </c>
      <c r="B42" s="28"/>
      <c r="C42" s="29"/>
      <c r="D42" s="29"/>
      <c r="E42" s="29"/>
      <c r="F42" s="29"/>
      <c r="G42" s="29"/>
      <c r="H42" s="57"/>
      <c r="I42" s="30"/>
      <c r="J42" s="52"/>
    </row>
    <row r="43" spans="1:10" x14ac:dyDescent="0.25">
      <c r="A43" s="27" t="s">
        <v>67</v>
      </c>
      <c r="B43" s="28">
        <f>'20-21 UG Grant -2+7% R1 2%'!P44</f>
        <v>148027.04</v>
      </c>
      <c r="C43" s="29"/>
      <c r="D43" s="29">
        <v>5862.2880092058158</v>
      </c>
      <c r="E43" s="29">
        <v>4484.4341953549665</v>
      </c>
      <c r="F43" s="29">
        <v>9719</v>
      </c>
      <c r="G43" s="29"/>
      <c r="H43" s="57">
        <v>166582.28220456076</v>
      </c>
      <c r="I43" s="30">
        <f>SUM(B43:F43)</f>
        <v>168092.76220456077</v>
      </c>
      <c r="J43" s="52">
        <f>I43/H43-1</f>
        <v>9.0674709219384919E-3</v>
      </c>
    </row>
    <row r="44" spans="1:10" x14ac:dyDescent="0.25">
      <c r="A44" s="27" t="s">
        <v>47</v>
      </c>
      <c r="B44" s="28">
        <f>'20-21 UG Grant -2+7% R1 2%'!P45</f>
        <v>768235.39</v>
      </c>
      <c r="C44" s="29"/>
      <c r="D44" s="29">
        <v>60894.509298604513</v>
      </c>
      <c r="E44" s="29">
        <v>18493.826258493464</v>
      </c>
      <c r="F44" s="29">
        <v>12096</v>
      </c>
      <c r="G44" s="29"/>
      <c r="H44" s="57">
        <v>845360.18555709801</v>
      </c>
      <c r="I44" s="30">
        <f>SUM(B44:F44)</f>
        <v>859719.72555709805</v>
      </c>
      <c r="J44" s="52">
        <f>I44/H44-1</f>
        <v>1.6986297965448927E-2</v>
      </c>
    </row>
    <row r="45" spans="1:10" x14ac:dyDescent="0.25">
      <c r="A45" s="27" t="s">
        <v>48</v>
      </c>
      <c r="B45" s="28">
        <f>'20-21 UG Grant -2+7% R1 2%'!P46</f>
        <v>531405</v>
      </c>
      <c r="C45" s="29"/>
      <c r="D45" s="29">
        <v>30223.697783078835</v>
      </c>
      <c r="E45" s="29">
        <v>16461.788558486154</v>
      </c>
      <c r="F45" s="29">
        <v>15953</v>
      </c>
      <c r="G45" s="29"/>
      <c r="H45" s="57">
        <v>588620.98634156503</v>
      </c>
      <c r="I45" s="30">
        <f>SUM(B45:F45)</f>
        <v>594043.48634156503</v>
      </c>
      <c r="J45" s="52">
        <f>I45/H45-1</f>
        <v>9.2122097679565584E-3</v>
      </c>
    </row>
    <row r="46" spans="1:10" x14ac:dyDescent="0.25">
      <c r="A46" s="27"/>
      <c r="B46" s="28"/>
      <c r="C46" s="29"/>
      <c r="D46" s="29"/>
      <c r="E46" s="29"/>
      <c r="F46" s="29"/>
      <c r="G46" s="29"/>
      <c r="H46" s="57"/>
      <c r="I46" s="30"/>
      <c r="J46" s="52"/>
    </row>
    <row r="47" spans="1:10" x14ac:dyDescent="0.25">
      <c r="A47" s="56" t="s">
        <v>68</v>
      </c>
      <c r="B47" s="28"/>
      <c r="C47" s="29"/>
      <c r="D47" s="29"/>
      <c r="E47" s="29"/>
      <c r="F47" s="29"/>
      <c r="G47" s="29"/>
      <c r="H47" s="57"/>
      <c r="I47" s="30"/>
      <c r="J47" s="52"/>
    </row>
    <row r="48" spans="1:10" x14ac:dyDescent="0.25">
      <c r="A48" s="54" t="s">
        <v>69</v>
      </c>
      <c r="B48" s="30">
        <v>230900.46</v>
      </c>
      <c r="C48" s="33"/>
      <c r="D48" s="34"/>
      <c r="E48" s="35"/>
      <c r="F48" s="33"/>
      <c r="G48" s="33"/>
      <c r="H48" s="57">
        <v>226373</v>
      </c>
      <c r="I48" s="30">
        <f t="shared" ref="I48:I52" si="5">SUM(B48:F48)</f>
        <v>230900.46</v>
      </c>
      <c r="J48" s="52">
        <f>B48/H48-1</f>
        <v>2.0000000000000018E-2</v>
      </c>
    </row>
    <row r="49" spans="1:10" x14ac:dyDescent="0.25">
      <c r="A49" s="54" t="s">
        <v>70</v>
      </c>
      <c r="B49" s="30">
        <v>283848.23203331028</v>
      </c>
      <c r="C49" s="33"/>
      <c r="D49" s="34"/>
      <c r="E49" s="35"/>
      <c r="F49" s="33"/>
      <c r="G49" s="35"/>
      <c r="H49" s="57">
        <v>278282.58042481402</v>
      </c>
      <c r="I49" s="30">
        <f t="shared" si="5"/>
        <v>283848.23203331028</v>
      </c>
      <c r="J49" s="52">
        <f>B49/H49-1</f>
        <v>2.0000000000000018E-2</v>
      </c>
    </row>
    <row r="50" spans="1:10" x14ac:dyDescent="0.25">
      <c r="A50" s="54" t="s">
        <v>71</v>
      </c>
      <c r="B50" s="30">
        <v>73261.242249725154</v>
      </c>
      <c r="C50" s="33"/>
      <c r="D50" s="34"/>
      <c r="F50" s="33"/>
      <c r="G50" s="33"/>
      <c r="H50" s="57">
        <v>71824.747303652111</v>
      </c>
      <c r="I50" s="30">
        <f t="shared" si="5"/>
        <v>73261.242249725154</v>
      </c>
      <c r="J50" s="52">
        <f>B50/H50-1</f>
        <v>2.0000000000000018E-2</v>
      </c>
    </row>
    <row r="51" spans="1:10" x14ac:dyDescent="0.25">
      <c r="A51" s="54" t="s">
        <v>72</v>
      </c>
      <c r="B51" s="30">
        <v>81889.253211354589</v>
      </c>
      <c r="C51" s="33"/>
      <c r="D51" s="34"/>
      <c r="E51" s="35"/>
      <c r="F51" s="33"/>
      <c r="G51" s="33"/>
      <c r="H51" s="57">
        <v>80283.581579759397</v>
      </c>
      <c r="I51" s="30">
        <f t="shared" si="5"/>
        <v>81889.253211354589</v>
      </c>
      <c r="J51" s="52">
        <f>B51/H51-1</f>
        <v>2.0000000000000018E-2</v>
      </c>
    </row>
    <row r="52" spans="1:10" x14ac:dyDescent="0.25">
      <c r="A52" s="54" t="s">
        <v>73</v>
      </c>
      <c r="B52" s="30">
        <v>106471.34102871375</v>
      </c>
      <c r="C52" s="33"/>
      <c r="D52" s="35">
        <v>117118.84050000001</v>
      </c>
      <c r="E52" s="35"/>
      <c r="F52" s="35"/>
      <c r="G52" s="35"/>
      <c r="H52" s="57">
        <v>221502.66767520958</v>
      </c>
      <c r="I52" s="30">
        <f t="shared" si="5"/>
        <v>223590.18152871376</v>
      </c>
      <c r="J52" s="52">
        <f>I52/H52-1</f>
        <v>9.4243282729447042E-3</v>
      </c>
    </row>
    <row r="53" spans="1:10" x14ac:dyDescent="0.25">
      <c r="A53" s="55"/>
    </row>
    <row r="54" spans="1:10" x14ac:dyDescent="0.25">
      <c r="A54" s="6"/>
      <c r="B54" s="6"/>
      <c r="C54" s="6"/>
      <c r="D54" s="6"/>
      <c r="E54" s="6"/>
      <c r="F54" s="6"/>
      <c r="G54" s="6"/>
      <c r="I5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39EC-08EB-40A8-B424-A4630CE857F8}">
  <dimension ref="A1:I56"/>
  <sheetViews>
    <sheetView topLeftCell="A17" zoomScale="70" zoomScaleNormal="70" workbookViewId="0">
      <selection activeCell="G40" sqref="G40"/>
    </sheetView>
  </sheetViews>
  <sheetFormatPr defaultRowHeight="15" x14ac:dyDescent="0.25"/>
  <cols>
    <col min="1" max="1" width="42.140625" bestFit="1" customWidth="1"/>
    <col min="2" max="2" width="12.140625" hidden="1" customWidth="1"/>
    <col min="3" max="3" width="11.140625" hidden="1" customWidth="1"/>
    <col min="4" max="4" width="11.5703125" hidden="1" customWidth="1"/>
    <col min="5" max="5" width="10.140625" hidden="1" customWidth="1"/>
    <col min="6" max="6" width="8.7109375" hidden="1" customWidth="1"/>
    <col min="7" max="9" width="18.5703125" customWidth="1"/>
  </cols>
  <sheetData>
    <row r="1" spans="1:9" x14ac:dyDescent="0.25">
      <c r="A1" s="22"/>
      <c r="B1" s="23" t="s">
        <v>62</v>
      </c>
      <c r="C1" s="24" t="s">
        <v>63</v>
      </c>
      <c r="D1" s="24" t="s">
        <v>64</v>
      </c>
      <c r="E1" s="24" t="s">
        <v>65</v>
      </c>
      <c r="F1" s="24" t="s">
        <v>66</v>
      </c>
      <c r="G1" s="70" t="s">
        <v>78</v>
      </c>
      <c r="H1" s="70" t="s">
        <v>79</v>
      </c>
      <c r="I1" s="70" t="s">
        <v>90</v>
      </c>
    </row>
    <row r="2" spans="1:9" x14ac:dyDescent="0.25">
      <c r="A2" s="24" t="s">
        <v>9</v>
      </c>
      <c r="B2" s="25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10</v>
      </c>
      <c r="B3" s="28">
        <f>'20-21 UG Grant -3+5% R1 FLAT'!P4</f>
        <v>2192023.46</v>
      </c>
      <c r="C3" s="29"/>
      <c r="D3" s="29">
        <v>451522.40458727261</v>
      </c>
      <c r="E3" s="29">
        <v>60687.148388982248</v>
      </c>
      <c r="F3" s="29"/>
      <c r="G3" s="57">
        <v>2704233.0129762548</v>
      </c>
      <c r="H3" s="30">
        <f t="shared" ref="H3:H14" si="0">SUM(B3:F3)</f>
        <v>2704233.0129762548</v>
      </c>
      <c r="I3" s="52">
        <f t="shared" ref="I3:I33" si="1">(H3-G3)/G3</f>
        <v>0</v>
      </c>
    </row>
    <row r="4" spans="1:9" x14ac:dyDescent="0.25">
      <c r="A4" s="27" t="s">
        <v>11</v>
      </c>
      <c r="B4" s="28">
        <f>'20-21 UG Grant -3+5% R1 FLAT'!P5</f>
        <v>8107383.1899999995</v>
      </c>
      <c r="C4" s="29">
        <f>[1]flat!$F$30</f>
        <v>15899.015046296296</v>
      </c>
      <c r="D4" s="29">
        <v>981736.49195280194</v>
      </c>
      <c r="E4" s="29">
        <v>268822.60539197776</v>
      </c>
      <c r="F4" s="29">
        <v>4648</v>
      </c>
      <c r="G4" s="57">
        <v>9378872.4111873712</v>
      </c>
      <c r="H4" s="30">
        <f t="shared" si="0"/>
        <v>9378489.3023910746</v>
      </c>
      <c r="I4" s="52">
        <f t="shared" si="1"/>
        <v>-4.0848065684277651E-5</v>
      </c>
    </row>
    <row r="5" spans="1:9" x14ac:dyDescent="0.25">
      <c r="A5" s="27" t="s">
        <v>12</v>
      </c>
      <c r="B5" s="28">
        <f>'20-21 UG Grant -3+5% R1 FLAT'!P6</f>
        <v>1664050</v>
      </c>
      <c r="C5" s="29">
        <f>[1]flat!$F$35</f>
        <v>544092.58561888034</v>
      </c>
      <c r="D5" s="29">
        <v>509690.82999167091</v>
      </c>
      <c r="E5" s="29">
        <v>84203.989186819614</v>
      </c>
      <c r="F5" s="29"/>
      <c r="G5" s="57">
        <v>2815148.0695110788</v>
      </c>
      <c r="H5" s="30">
        <f t="shared" si="0"/>
        <v>2802037.404797371</v>
      </c>
      <c r="I5" s="52">
        <f t="shared" si="1"/>
        <v>-4.6571847696752766E-3</v>
      </c>
    </row>
    <row r="6" spans="1:9" x14ac:dyDescent="0.25">
      <c r="A6" s="27" t="s">
        <v>13</v>
      </c>
      <c r="B6" s="28">
        <f>'20-21 UG Grant -3+5% R1 FLAT'!P7</f>
        <v>13200570</v>
      </c>
      <c r="C6" s="29">
        <f>[1]flat!$F$34</f>
        <v>1427453.1013372359</v>
      </c>
      <c r="D6" s="29">
        <v>2313550.3385135531</v>
      </c>
      <c r="E6" s="29">
        <v>581185.61408635927</v>
      </c>
      <c r="F6" s="29"/>
      <c r="G6" s="57">
        <v>17557155.514210336</v>
      </c>
      <c r="H6" s="30">
        <f t="shared" si="0"/>
        <v>17522759.053937148</v>
      </c>
      <c r="I6" s="52">
        <f t="shared" si="1"/>
        <v>-1.959113493375846E-3</v>
      </c>
    </row>
    <row r="7" spans="1:9" x14ac:dyDescent="0.25">
      <c r="A7" s="27" t="s">
        <v>14</v>
      </c>
      <c r="B7" s="28">
        <f>'20-21 UG Grant -3+5% R1 FLAT'!P8</f>
        <v>4441665.8899999997</v>
      </c>
      <c r="C7" s="29">
        <f>[1]flat!$F$31</f>
        <v>79926.535937499997</v>
      </c>
      <c r="D7" s="29">
        <v>869832.01582231314</v>
      </c>
      <c r="E7" s="29">
        <v>128010.30000000002</v>
      </c>
      <c r="F7" s="29"/>
      <c r="G7" s="57">
        <v>5521360.6823848123</v>
      </c>
      <c r="H7" s="30">
        <f t="shared" si="0"/>
        <v>5519434.7417598125</v>
      </c>
      <c r="I7" s="52">
        <f t="shared" si="1"/>
        <v>-3.4881630376806908E-4</v>
      </c>
    </row>
    <row r="8" spans="1:9" x14ac:dyDescent="0.25">
      <c r="A8" s="27" t="s">
        <v>15</v>
      </c>
      <c r="B8" s="28">
        <f>'20-21 UG Grant -3+5% R1 FLAT'!P9</f>
        <v>1452632.23</v>
      </c>
      <c r="C8" s="29"/>
      <c r="D8" s="29">
        <v>353591.333356908</v>
      </c>
      <c r="E8" s="29">
        <v>54065.90195075619</v>
      </c>
      <c r="F8" s="29"/>
      <c r="G8" s="57">
        <v>1860289.4653076641</v>
      </c>
      <c r="H8" s="30">
        <f t="shared" si="0"/>
        <v>1860289.4653076641</v>
      </c>
      <c r="I8" s="52">
        <f t="shared" si="1"/>
        <v>0</v>
      </c>
    </row>
    <row r="9" spans="1:9" x14ac:dyDescent="0.25">
      <c r="A9" s="27" t="s">
        <v>16</v>
      </c>
      <c r="B9" s="28">
        <f>'20-21 UG Grant -3+5% R1 FLAT'!P10</f>
        <v>20958120</v>
      </c>
      <c r="C9" s="29">
        <f>[1]flat!$F$29</f>
        <v>59101.318957115014</v>
      </c>
      <c r="D9" s="29">
        <v>2708394.1898773289</v>
      </c>
      <c r="E9" s="29">
        <v>609679.80565500108</v>
      </c>
      <c r="F9" s="29"/>
      <c r="G9" s="57">
        <v>24336719.442657087</v>
      </c>
      <c r="H9" s="30">
        <f t="shared" si="0"/>
        <v>24335295.314489447</v>
      </c>
      <c r="I9" s="52">
        <f t="shared" si="1"/>
        <v>-5.85176720714553E-5</v>
      </c>
    </row>
    <row r="10" spans="1:9" x14ac:dyDescent="0.25">
      <c r="A10" s="27" t="s">
        <v>17</v>
      </c>
      <c r="B10" s="28">
        <f>'20-21 UG Grant -3+5% R1 FLAT'!P11</f>
        <v>11073631.800000001</v>
      </c>
      <c r="C10" s="29">
        <f>[1]flat!$F$33</f>
        <v>711615.56495623861</v>
      </c>
      <c r="D10" s="29">
        <v>2005879.770890553</v>
      </c>
      <c r="E10" s="29">
        <v>454057.68247241905</v>
      </c>
      <c r="F10" s="29"/>
      <c r="G10" s="57">
        <v>14262332.181330204</v>
      </c>
      <c r="H10" s="30">
        <f t="shared" si="0"/>
        <v>14245184.818319211</v>
      </c>
      <c r="I10" s="52">
        <f t="shared" si="1"/>
        <v>-1.2022832446322916E-3</v>
      </c>
    </row>
    <row r="11" spans="1:9" x14ac:dyDescent="0.25">
      <c r="A11" s="27" t="s">
        <v>18</v>
      </c>
      <c r="B11" s="28">
        <f>'20-21 UG Grant -3+5% R1 FLAT'!P12</f>
        <v>9179750</v>
      </c>
      <c r="C11" s="29">
        <f>[1]flat!$F$28</f>
        <v>241916.67647989868</v>
      </c>
      <c r="D11" s="29">
        <v>883750.63231467817</v>
      </c>
      <c r="E11" s="29">
        <v>293560.30000000005</v>
      </c>
      <c r="F11" s="29"/>
      <c r="G11" s="57">
        <v>10604806.926300118</v>
      </c>
      <c r="H11" s="30">
        <f t="shared" si="0"/>
        <v>10598977.608794577</v>
      </c>
      <c r="I11" s="52">
        <f t="shared" si="1"/>
        <v>-5.496863399826272E-4</v>
      </c>
    </row>
    <row r="12" spans="1:9" x14ac:dyDescent="0.25">
      <c r="A12" s="27" t="s">
        <v>19</v>
      </c>
      <c r="B12" s="28">
        <f>'20-21 UG Grant -3+5% R1 FLAT'!P13</f>
        <v>11851142.1</v>
      </c>
      <c r="C12" s="29">
        <f>[1]flat!$F$38</f>
        <v>6415826.211061663</v>
      </c>
      <c r="D12" s="29">
        <v>1105772.5119728209</v>
      </c>
      <c r="E12" s="29">
        <v>338779.10000000003</v>
      </c>
      <c r="F12" s="29"/>
      <c r="G12" s="57">
        <v>19866118.144987777</v>
      </c>
      <c r="H12" s="30">
        <f t="shared" si="0"/>
        <v>19711519.923034485</v>
      </c>
      <c r="I12" s="52">
        <f t="shared" si="1"/>
        <v>-7.7820045579612435E-3</v>
      </c>
    </row>
    <row r="13" spans="1:9" x14ac:dyDescent="0.25">
      <c r="A13" s="27" t="s">
        <v>20</v>
      </c>
      <c r="B13" s="28">
        <f>'20-21 UG Grant -3+5% R1 FLAT'!P14</f>
        <v>7644013.6500000004</v>
      </c>
      <c r="C13" s="29">
        <f>[1]flat!$F$32</f>
        <v>364883.83148148155</v>
      </c>
      <c r="D13" s="29">
        <v>1282609.3317626945</v>
      </c>
      <c r="E13" s="29">
        <v>271882.0778841236</v>
      </c>
      <c r="F13" s="29"/>
      <c r="G13" s="57">
        <v>9572181.2726097796</v>
      </c>
      <c r="H13" s="30">
        <f t="shared" si="0"/>
        <v>9563388.8911282998</v>
      </c>
      <c r="I13" s="52">
        <f t="shared" si="1"/>
        <v>-9.185347864899638E-4</v>
      </c>
    </row>
    <row r="14" spans="1:9" x14ac:dyDescent="0.25">
      <c r="A14" s="27" t="s">
        <v>21</v>
      </c>
      <c r="B14" s="28">
        <f>'20-21 UG Grant -3+5% R1 FLAT'!P15</f>
        <v>1270889.1499999999</v>
      </c>
      <c r="C14" s="29">
        <f>[1]flat!$F$26</f>
        <v>8300</v>
      </c>
      <c r="D14" s="29">
        <v>281160.58349565283</v>
      </c>
      <c r="E14" s="29">
        <v>49431.029443997955</v>
      </c>
      <c r="F14" s="29"/>
      <c r="G14" s="57">
        <v>1609980.7629396506</v>
      </c>
      <c r="H14" s="30">
        <f t="shared" si="0"/>
        <v>1609780.7629396506</v>
      </c>
      <c r="I14" s="52">
        <f t="shared" si="1"/>
        <v>-1.242250867860195E-4</v>
      </c>
    </row>
    <row r="15" spans="1:9" x14ac:dyDescent="0.25">
      <c r="A15" s="26"/>
      <c r="B15" s="28"/>
      <c r="C15" s="29"/>
      <c r="D15" s="29"/>
      <c r="E15" s="29"/>
      <c r="F15" s="29"/>
      <c r="G15" s="29"/>
      <c r="H15" s="30"/>
      <c r="I15" s="52"/>
    </row>
    <row r="16" spans="1:9" x14ac:dyDescent="0.25">
      <c r="A16" s="31" t="s">
        <v>22</v>
      </c>
      <c r="B16" s="28"/>
      <c r="C16" s="29"/>
      <c r="D16" s="29"/>
      <c r="E16" s="29"/>
      <c r="F16" s="29"/>
      <c r="G16" s="29"/>
      <c r="H16" s="30"/>
      <c r="I16" s="52"/>
    </row>
    <row r="17" spans="1:9" x14ac:dyDescent="0.25">
      <c r="A17" s="27" t="s">
        <v>23</v>
      </c>
      <c r="B17" s="28">
        <f>'20-21 UG Grant -3+5% R1 FLAT'!P18</f>
        <v>2914023.56</v>
      </c>
      <c r="C17" s="29"/>
      <c r="D17" s="29">
        <v>457438.94767969608</v>
      </c>
      <c r="E17" s="29">
        <v>102903.9518375</v>
      </c>
      <c r="F17" s="29">
        <v>35497</v>
      </c>
      <c r="G17" s="57">
        <v>3509863.4595171963</v>
      </c>
      <c r="H17" s="30">
        <f t="shared" ref="H17:H29" si="2">SUM(B17:F17)</f>
        <v>3509863.4595171963</v>
      </c>
      <c r="I17" s="52">
        <f t="shared" si="1"/>
        <v>0</v>
      </c>
    </row>
    <row r="18" spans="1:9" x14ac:dyDescent="0.25">
      <c r="A18" s="27" t="s">
        <v>24</v>
      </c>
      <c r="B18" s="28">
        <f>'20-21 UG Grant -3+5% R1 FLAT'!P19</f>
        <v>462180.75</v>
      </c>
      <c r="C18" s="29"/>
      <c r="D18" s="29">
        <v>88646.979737853442</v>
      </c>
      <c r="E18" s="29">
        <v>18513.56595</v>
      </c>
      <c r="F18" s="29">
        <v>2536</v>
      </c>
      <c r="G18" s="57">
        <v>571877.29568785336</v>
      </c>
      <c r="H18" s="30">
        <f t="shared" si="2"/>
        <v>571877.29568785336</v>
      </c>
      <c r="I18" s="52">
        <f t="shared" si="1"/>
        <v>0</v>
      </c>
    </row>
    <row r="19" spans="1:9" x14ac:dyDescent="0.25">
      <c r="A19" s="27" t="s">
        <v>25</v>
      </c>
      <c r="B19" s="28">
        <f>'20-21 UG Grant -3+5% R1 FLAT'!P20</f>
        <v>3736283.83</v>
      </c>
      <c r="C19" s="29"/>
      <c r="D19" s="29">
        <v>403345.35745356907</v>
      </c>
      <c r="E19" s="29">
        <v>113040.65901950756</v>
      </c>
      <c r="F19" s="29">
        <v>15794</v>
      </c>
      <c r="G19" s="57">
        <v>4268463.8464730764</v>
      </c>
      <c r="H19" s="30">
        <f t="shared" si="2"/>
        <v>4268463.8464730764</v>
      </c>
      <c r="I19" s="52">
        <f t="shared" si="1"/>
        <v>0</v>
      </c>
    </row>
    <row r="20" spans="1:9" x14ac:dyDescent="0.25">
      <c r="A20" s="27" t="s">
        <v>26</v>
      </c>
      <c r="B20" s="28">
        <f>'20-21 UG Grant -3+5% R1 FLAT'!P21</f>
        <v>5180065.78</v>
      </c>
      <c r="C20" s="29"/>
      <c r="D20" s="29">
        <v>939169.91166596045</v>
      </c>
      <c r="E20" s="29">
        <v>153338.93475560751</v>
      </c>
      <c r="F20" s="29">
        <v>14843</v>
      </c>
      <c r="G20" s="57">
        <v>6287417.626421568</v>
      </c>
      <c r="H20" s="30">
        <f t="shared" si="2"/>
        <v>6287417.626421568</v>
      </c>
      <c r="I20" s="52">
        <f t="shared" si="1"/>
        <v>0</v>
      </c>
    </row>
    <row r="21" spans="1:9" x14ac:dyDescent="0.25">
      <c r="A21" s="27" t="s">
        <v>27</v>
      </c>
      <c r="B21" s="28">
        <f>'20-21 UG Grant -3+5% R1 FLAT'!P22</f>
        <v>8691588</v>
      </c>
      <c r="C21" s="29"/>
      <c r="D21" s="29">
        <v>1205946.9113027691</v>
      </c>
      <c r="E21" s="29">
        <v>288891.83166508365</v>
      </c>
      <c r="F21" s="29">
        <v>88056</v>
      </c>
      <c r="G21" s="57">
        <v>10274482.742967853</v>
      </c>
      <c r="H21" s="30">
        <f t="shared" si="2"/>
        <v>10274482.742967853</v>
      </c>
      <c r="I21" s="52">
        <f t="shared" si="1"/>
        <v>0</v>
      </c>
    </row>
    <row r="22" spans="1:9" x14ac:dyDescent="0.25">
      <c r="A22" s="27" t="s">
        <v>28</v>
      </c>
      <c r="B22" s="28">
        <f>'20-21 UG Grant -3+5% R1 FLAT'!P23</f>
        <v>545060</v>
      </c>
      <c r="C22" s="29"/>
      <c r="D22" s="29">
        <v>129859.65836874406</v>
      </c>
      <c r="E22" s="29">
        <v>16644.443632644117</v>
      </c>
      <c r="F22" s="29">
        <v>1849</v>
      </c>
      <c r="G22" s="57">
        <v>693413.10200138821</v>
      </c>
      <c r="H22" s="30">
        <f t="shared" si="2"/>
        <v>693413.10200138821</v>
      </c>
      <c r="I22" s="52">
        <f t="shared" si="1"/>
        <v>0</v>
      </c>
    </row>
    <row r="23" spans="1:9" x14ac:dyDescent="0.25">
      <c r="A23" s="27" t="s">
        <v>29</v>
      </c>
      <c r="B23" s="28">
        <f>'20-21 UG Grant -3+5% R1 FLAT'!P24</f>
        <v>637826.41</v>
      </c>
      <c r="C23" s="29"/>
      <c r="D23" s="29">
        <v>143531.4330027033</v>
      </c>
      <c r="E23" s="29">
        <v>17350.421630303845</v>
      </c>
      <c r="F23" s="29">
        <v>7395</v>
      </c>
      <c r="G23" s="57">
        <v>806103.26463300711</v>
      </c>
      <c r="H23" s="30">
        <f t="shared" si="2"/>
        <v>806103.26463300711</v>
      </c>
      <c r="I23" s="52">
        <f t="shared" si="1"/>
        <v>0</v>
      </c>
    </row>
    <row r="24" spans="1:9" x14ac:dyDescent="0.25">
      <c r="A24" s="27" t="s">
        <v>30</v>
      </c>
      <c r="B24" s="28">
        <f>'20-21 UG Grant -3+5% R1 FLAT'!P25</f>
        <v>840168.41</v>
      </c>
      <c r="C24" s="29"/>
      <c r="D24" s="29">
        <v>200387.39303338935</v>
      </c>
      <c r="E24" s="29">
        <v>35252.429312486296</v>
      </c>
      <c r="F24" s="29">
        <v>7712</v>
      </c>
      <c r="G24" s="57">
        <v>1083520.2323458756</v>
      </c>
      <c r="H24" s="30">
        <f t="shared" si="2"/>
        <v>1083520.2323458756</v>
      </c>
      <c r="I24" s="52">
        <f t="shared" si="1"/>
        <v>0</v>
      </c>
    </row>
    <row r="25" spans="1:9" x14ac:dyDescent="0.25">
      <c r="A25" s="27" t="s">
        <v>31</v>
      </c>
      <c r="B25" s="28">
        <f>'20-21 UG Grant -3+5% R1 FLAT'!P26</f>
        <v>1025340</v>
      </c>
      <c r="C25" s="29"/>
      <c r="D25" s="29">
        <v>230328.33897742385</v>
      </c>
      <c r="E25" s="29">
        <v>30868.707532695258</v>
      </c>
      <c r="F25" s="29">
        <v>9138</v>
      </c>
      <c r="G25" s="57">
        <v>1295675.0465101192</v>
      </c>
      <c r="H25" s="30">
        <f t="shared" si="2"/>
        <v>1295675.0465101192</v>
      </c>
      <c r="I25" s="52">
        <f t="shared" si="1"/>
        <v>0</v>
      </c>
    </row>
    <row r="26" spans="1:9" x14ac:dyDescent="0.25">
      <c r="A26" s="27" t="s">
        <v>32</v>
      </c>
      <c r="B26" s="28">
        <f>'20-21 UG Grant -3+5% R1 FLAT'!P27</f>
        <v>10244700</v>
      </c>
      <c r="C26" s="29"/>
      <c r="D26" s="29">
        <v>1161612.2746189814</v>
      </c>
      <c r="E26" s="29">
        <v>288366.69832687953</v>
      </c>
      <c r="F26" s="29">
        <v>50657</v>
      </c>
      <c r="G26" s="57">
        <v>11745335.972945862</v>
      </c>
      <c r="H26" s="30">
        <f t="shared" si="2"/>
        <v>11745335.972945862</v>
      </c>
      <c r="I26" s="52">
        <f t="shared" si="1"/>
        <v>0</v>
      </c>
    </row>
    <row r="27" spans="1:9" x14ac:dyDescent="0.25">
      <c r="A27" s="27" t="s">
        <v>33</v>
      </c>
      <c r="B27" s="28">
        <f>'20-21 UG Grant -3+5% R1 FLAT'!P28</f>
        <v>4613918.49</v>
      </c>
      <c r="C27" s="29"/>
      <c r="D27" s="29">
        <v>824538.05424775335</v>
      </c>
      <c r="E27" s="29">
        <v>121397.12866223423</v>
      </c>
      <c r="F27" s="29">
        <v>68564</v>
      </c>
      <c r="G27" s="57">
        <v>5628417.6729099881</v>
      </c>
      <c r="H27" s="30">
        <f t="shared" si="2"/>
        <v>5628417.6729099881</v>
      </c>
      <c r="I27" s="52">
        <f t="shared" si="1"/>
        <v>0</v>
      </c>
    </row>
    <row r="28" spans="1:9" x14ac:dyDescent="0.25">
      <c r="A28" s="27" t="s">
        <v>34</v>
      </c>
      <c r="B28" s="28">
        <f>'20-21 UG Grant -3+5% R1 FLAT'!P29</f>
        <v>3701784.81</v>
      </c>
      <c r="C28" s="29">
        <f>[1]flat!$F$39</f>
        <v>64400.852777777785</v>
      </c>
      <c r="D28" s="29">
        <v>477356.47063103673</v>
      </c>
      <c r="E28" s="29">
        <v>117150.39818806166</v>
      </c>
      <c r="F28" s="29">
        <v>59109</v>
      </c>
      <c r="G28" s="57">
        <v>4421353.3593746545</v>
      </c>
      <c r="H28" s="30">
        <f t="shared" si="2"/>
        <v>4419801.5315968767</v>
      </c>
      <c r="I28" s="52">
        <f t="shared" si="1"/>
        <v>-3.5098478941689593E-4</v>
      </c>
    </row>
    <row r="29" spans="1:9" x14ac:dyDescent="0.25">
      <c r="A29" s="27" t="s">
        <v>35</v>
      </c>
      <c r="B29" s="28">
        <f>'20-21 UG Grant -3+5% R1 FLAT'!P30</f>
        <v>1158710</v>
      </c>
      <c r="C29" s="29"/>
      <c r="D29" s="29">
        <v>372721.66287930153</v>
      </c>
      <c r="E29" s="29">
        <v>30526.229268649084</v>
      </c>
      <c r="F29" s="29">
        <v>8927</v>
      </c>
      <c r="G29" s="57">
        <v>1570884.8921479506</v>
      </c>
      <c r="H29" s="30">
        <f t="shared" si="2"/>
        <v>1570884.8921479506</v>
      </c>
      <c r="I29" s="52">
        <f t="shared" si="1"/>
        <v>0</v>
      </c>
    </row>
    <row r="30" spans="1:9" x14ac:dyDescent="0.25">
      <c r="A30" s="26"/>
      <c r="B30" s="28"/>
      <c r="C30" s="29"/>
      <c r="D30" s="29"/>
      <c r="E30" s="29"/>
      <c r="F30" s="29"/>
      <c r="G30" s="29"/>
      <c r="H30" s="30"/>
      <c r="I30" s="52"/>
    </row>
    <row r="31" spans="1:9" x14ac:dyDescent="0.25">
      <c r="A31" s="31" t="s">
        <v>36</v>
      </c>
      <c r="B31" s="28"/>
      <c r="C31" s="29"/>
      <c r="D31" s="29"/>
      <c r="E31" s="29"/>
      <c r="F31" s="29"/>
      <c r="G31" s="29"/>
      <c r="H31" s="30"/>
      <c r="I31" s="52"/>
    </row>
    <row r="32" spans="1:9" x14ac:dyDescent="0.25">
      <c r="A32" s="27" t="s">
        <v>37</v>
      </c>
      <c r="B32" s="28">
        <f>'20-21 UG Grant -3+5% R1 FLAT'!P33</f>
        <v>3802341.9000000004</v>
      </c>
      <c r="C32" s="29"/>
      <c r="D32" s="29">
        <v>405166.28974486736</v>
      </c>
      <c r="E32" s="29">
        <v>112195.87930152699</v>
      </c>
      <c r="F32" s="29">
        <v>20865</v>
      </c>
      <c r="G32" s="57">
        <v>4340569.069046394</v>
      </c>
      <c r="H32" s="30">
        <f>SUM(B32:F32)</f>
        <v>4340569.069046394</v>
      </c>
      <c r="I32" s="52">
        <f t="shared" si="1"/>
        <v>0</v>
      </c>
    </row>
    <row r="33" spans="1:9" x14ac:dyDescent="0.25">
      <c r="A33" s="27" t="s">
        <v>38</v>
      </c>
      <c r="B33" s="28">
        <f>'20-21 UG Grant -3+5% R1 FLAT'!P34</f>
        <v>2150720</v>
      </c>
      <c r="C33" s="29"/>
      <c r="D33" s="29">
        <v>189928.17162292686</v>
      </c>
      <c r="E33" s="29">
        <v>67559.545554175493</v>
      </c>
      <c r="F33" s="29">
        <v>16639</v>
      </c>
      <c r="G33" s="57">
        <v>2424846.7171771023</v>
      </c>
      <c r="H33" s="30">
        <f>SUM(B33:F33)</f>
        <v>2424846.7171771023</v>
      </c>
      <c r="I33" s="52">
        <f t="shared" si="1"/>
        <v>0</v>
      </c>
    </row>
    <row r="34" spans="1:9" x14ac:dyDescent="0.25">
      <c r="A34" s="26"/>
      <c r="B34" s="28"/>
      <c r="C34" s="29"/>
      <c r="D34" s="29"/>
      <c r="E34" s="29"/>
      <c r="F34" s="29"/>
      <c r="G34" s="29"/>
      <c r="H34" s="30"/>
      <c r="I34" s="52"/>
    </row>
    <row r="35" spans="1:9" x14ac:dyDescent="0.25">
      <c r="A35" s="31" t="s">
        <v>39</v>
      </c>
      <c r="B35" s="28"/>
      <c r="C35" s="29"/>
      <c r="D35" s="29"/>
      <c r="E35" s="29"/>
      <c r="F35" s="29"/>
      <c r="G35" s="29"/>
      <c r="H35" s="30"/>
      <c r="I35" s="52"/>
    </row>
    <row r="36" spans="1:9" x14ac:dyDescent="0.25">
      <c r="A36" s="27" t="s">
        <v>40</v>
      </c>
      <c r="B36" s="28">
        <f>'20-21 UG Grant -3+5% R1 FLAT'!P37</f>
        <v>2276002.0500000003</v>
      </c>
      <c r="C36" s="29">
        <f>[1]flat!$F$27</f>
        <v>8824.7444444444445</v>
      </c>
      <c r="D36" s="29">
        <v>250213.73299970775</v>
      </c>
      <c r="E36" s="29">
        <v>74226.45576094104</v>
      </c>
      <c r="F36" s="29"/>
      <c r="G36" s="57">
        <v>2609479.6276495378</v>
      </c>
      <c r="H36" s="30">
        <f>SUM(B36:F36)</f>
        <v>2609266.9832050931</v>
      </c>
      <c r="I36" s="52">
        <f t="shared" ref="I36:I52" si="3">(H36-G36)/G36</f>
        <v>-8.1489214244688226E-5</v>
      </c>
    </row>
    <row r="37" spans="1:9" x14ac:dyDescent="0.25">
      <c r="A37" s="27" t="s">
        <v>41</v>
      </c>
      <c r="B37" s="28">
        <f>'20-21 UG Grant -3+5% R1 FLAT'!P38</f>
        <v>154112.63</v>
      </c>
      <c r="C37" s="29"/>
      <c r="D37" s="29">
        <v>157049.98986892673</v>
      </c>
      <c r="E37" s="29">
        <v>8946.2197331576353</v>
      </c>
      <c r="F37" s="29"/>
      <c r="G37" s="57">
        <v>320108.83960208436</v>
      </c>
      <c r="H37" s="30">
        <f>SUM(B37:F37)</f>
        <v>320108.83960208436</v>
      </c>
      <c r="I37" s="52">
        <f t="shared" si="3"/>
        <v>0</v>
      </c>
    </row>
    <row r="38" spans="1:9" x14ac:dyDescent="0.25">
      <c r="A38" s="27" t="s">
        <v>42</v>
      </c>
      <c r="B38" s="28">
        <f>'20-21 UG Grant -3+5% R1 FLAT'!P39</f>
        <v>133192.5</v>
      </c>
      <c r="C38" s="29"/>
      <c r="D38" s="29">
        <v>33026.194538905533</v>
      </c>
      <c r="E38" s="29">
        <v>1765.8550250000001</v>
      </c>
      <c r="F38" s="29"/>
      <c r="G38" s="57">
        <v>167984.54956390552</v>
      </c>
      <c r="H38" s="30">
        <f>SUM(B38:F38)</f>
        <v>167984.54956390552</v>
      </c>
      <c r="I38" s="52">
        <f t="shared" si="3"/>
        <v>0</v>
      </c>
    </row>
    <row r="39" spans="1:9" x14ac:dyDescent="0.25">
      <c r="A39" s="27" t="s">
        <v>43</v>
      </c>
      <c r="B39" s="28">
        <f>'20-21 UG Grant -3+5% R1 FLAT'!P40</f>
        <v>2337902.73</v>
      </c>
      <c r="C39" s="29">
        <f>[1]flat!$F$37</f>
        <v>1408744.1793285895</v>
      </c>
      <c r="D39" s="29">
        <v>541132.95935464313</v>
      </c>
      <c r="E39" s="29">
        <v>88970.686655066253</v>
      </c>
      <c r="F39" s="29"/>
      <c r="G39" s="57">
        <v>4410696.1982136862</v>
      </c>
      <c r="H39" s="30">
        <f>SUM(B39:F39)</f>
        <v>4376750.555338298</v>
      </c>
      <c r="I39" s="52">
        <f t="shared" si="3"/>
        <v>-7.6962097024810073E-3</v>
      </c>
    </row>
    <row r="40" spans="1:9" x14ac:dyDescent="0.25">
      <c r="A40" s="75" t="s">
        <v>44</v>
      </c>
      <c r="B40" s="76">
        <f>'20-21 UG Grant -3+5% R1 FLAT'!P41</f>
        <v>1513060</v>
      </c>
      <c r="C40" s="77">
        <f>[1]flat!$F$36</f>
        <v>233619.37042667667</v>
      </c>
      <c r="D40" s="77">
        <v>539077.41064170375</v>
      </c>
      <c r="E40" s="77">
        <v>64134.762913713748</v>
      </c>
      <c r="F40" s="77"/>
      <c r="G40" s="78">
        <v>2245563</v>
      </c>
      <c r="H40" s="79">
        <f>SUM(B40:F40)</f>
        <v>2349891.5439820942</v>
      </c>
      <c r="I40" s="80">
        <f t="shared" si="3"/>
        <v>4.645986061495231E-2</v>
      </c>
    </row>
    <row r="41" spans="1:9" x14ac:dyDescent="0.25">
      <c r="A41" s="26"/>
      <c r="B41" s="28"/>
      <c r="C41" s="29"/>
      <c r="D41" s="29"/>
      <c r="E41" s="29"/>
      <c r="F41" s="29"/>
      <c r="G41" s="29"/>
      <c r="H41" s="30"/>
      <c r="I41" s="52"/>
    </row>
    <row r="42" spans="1:9" x14ac:dyDescent="0.25">
      <c r="A42" s="31" t="s">
        <v>45</v>
      </c>
      <c r="B42" s="28"/>
      <c r="C42" s="29"/>
      <c r="D42" s="29"/>
      <c r="E42" s="29"/>
      <c r="F42" s="29"/>
      <c r="G42" s="29"/>
      <c r="H42" s="30"/>
      <c r="I42" s="52"/>
    </row>
    <row r="43" spans="1:9" x14ac:dyDescent="0.25">
      <c r="A43" s="27" t="s">
        <v>67</v>
      </c>
      <c r="B43" s="28">
        <f>'20-21 UG Grant -3+5% R1 FLAT'!P44</f>
        <v>146516.56</v>
      </c>
      <c r="C43" s="29"/>
      <c r="D43" s="29">
        <v>5862.2880092058158</v>
      </c>
      <c r="E43" s="29">
        <v>4484.4341953549665</v>
      </c>
      <c r="F43" s="29">
        <v>9719</v>
      </c>
      <c r="G43" s="57">
        <v>166582.28220456076</v>
      </c>
      <c r="H43" s="30">
        <f>SUM(B43:F43)</f>
        <v>166582.28220456076</v>
      </c>
      <c r="I43" s="52">
        <f t="shared" si="3"/>
        <v>0</v>
      </c>
    </row>
    <row r="44" spans="1:9" x14ac:dyDescent="0.25">
      <c r="A44" s="27" t="s">
        <v>47</v>
      </c>
      <c r="B44" s="28">
        <f>'20-21 UG Grant -3+5% R1 FLAT'!P45</f>
        <v>753875.85</v>
      </c>
      <c r="C44" s="29"/>
      <c r="D44" s="29">
        <v>60894.509298604513</v>
      </c>
      <c r="E44" s="29">
        <v>18493.826258493464</v>
      </c>
      <c r="F44" s="29">
        <v>12096</v>
      </c>
      <c r="G44" s="57">
        <v>845360.18555709801</v>
      </c>
      <c r="H44" s="30">
        <f>SUM(B44:F44)</f>
        <v>845360.18555709801</v>
      </c>
      <c r="I44" s="52">
        <f t="shared" si="3"/>
        <v>0</v>
      </c>
    </row>
    <row r="45" spans="1:9" x14ac:dyDescent="0.25">
      <c r="A45" s="27" t="s">
        <v>48</v>
      </c>
      <c r="B45" s="28">
        <f>'20-21 UG Grant -3+5% R1 FLAT'!P46</f>
        <v>525982.5</v>
      </c>
      <c r="C45" s="29"/>
      <c r="D45" s="29">
        <v>30223.697783078835</v>
      </c>
      <c r="E45" s="29">
        <v>16461.788558486154</v>
      </c>
      <c r="F45" s="29">
        <v>15953</v>
      </c>
      <c r="G45" s="57">
        <v>588620.98634156503</v>
      </c>
      <c r="H45" s="30">
        <f>SUM(B45:F45)</f>
        <v>588620.98634156503</v>
      </c>
      <c r="I45" s="52">
        <f t="shared" si="3"/>
        <v>0</v>
      </c>
    </row>
    <row r="46" spans="1:9" x14ac:dyDescent="0.25">
      <c r="A46" s="27"/>
      <c r="B46" s="28"/>
      <c r="C46" s="29"/>
      <c r="D46" s="29"/>
      <c r="E46" s="29"/>
      <c r="F46" s="29"/>
      <c r="G46" s="29"/>
      <c r="H46" s="30"/>
      <c r="I46" s="52"/>
    </row>
    <row r="47" spans="1:9" x14ac:dyDescent="0.25">
      <c r="A47" s="31" t="s">
        <v>68</v>
      </c>
      <c r="B47" s="28"/>
      <c r="C47" s="29"/>
      <c r="D47" s="29"/>
      <c r="E47" s="29"/>
      <c r="F47" s="29"/>
      <c r="G47" s="29"/>
      <c r="H47" s="30">
        <f t="shared" ref="H47:H52" si="4">SUM(B47:F47)</f>
        <v>0</v>
      </c>
      <c r="I47" s="52"/>
    </row>
    <row r="48" spans="1:9" x14ac:dyDescent="0.25">
      <c r="A48" s="32" t="s">
        <v>69</v>
      </c>
      <c r="B48" s="6">
        <v>226373</v>
      </c>
      <c r="C48" s="33"/>
      <c r="D48" s="34"/>
      <c r="E48" s="35"/>
      <c r="F48" s="33"/>
      <c r="G48" s="57">
        <v>226373</v>
      </c>
      <c r="H48" s="30">
        <f t="shared" si="4"/>
        <v>226373</v>
      </c>
      <c r="I48" s="52">
        <f t="shared" si="3"/>
        <v>0</v>
      </c>
    </row>
    <row r="49" spans="1:9" x14ac:dyDescent="0.25">
      <c r="A49" s="32" t="s">
        <v>70</v>
      </c>
      <c r="B49" s="6">
        <v>278282.58042481402</v>
      </c>
      <c r="C49" s="33"/>
      <c r="D49" s="34"/>
      <c r="E49" s="35"/>
      <c r="F49" s="33"/>
      <c r="G49" s="57">
        <v>278282.58042481402</v>
      </c>
      <c r="H49" s="30">
        <f t="shared" si="4"/>
        <v>278282.58042481402</v>
      </c>
      <c r="I49" s="52">
        <f t="shared" si="3"/>
        <v>0</v>
      </c>
    </row>
    <row r="50" spans="1:9" x14ac:dyDescent="0.25">
      <c r="A50" s="32" t="s">
        <v>71</v>
      </c>
      <c r="B50" s="6">
        <v>71824.747303652111</v>
      </c>
      <c r="C50" s="33"/>
      <c r="D50" s="34"/>
      <c r="E50" s="35"/>
      <c r="F50" s="33"/>
      <c r="G50" s="57">
        <v>71824.747303652111</v>
      </c>
      <c r="H50" s="30">
        <f t="shared" si="4"/>
        <v>71824.747303652111</v>
      </c>
      <c r="I50" s="52">
        <f t="shared" si="3"/>
        <v>0</v>
      </c>
    </row>
    <row r="51" spans="1:9" x14ac:dyDescent="0.25">
      <c r="A51" s="53" t="s">
        <v>72</v>
      </c>
      <c r="B51" s="6">
        <v>80283.581579759397</v>
      </c>
      <c r="C51" s="62"/>
      <c r="D51" s="69"/>
      <c r="E51" s="63"/>
      <c r="F51" s="62"/>
      <c r="G51" s="64">
        <v>80283.581579759397</v>
      </c>
      <c r="H51" s="65">
        <f t="shared" si="4"/>
        <v>80283.581579759397</v>
      </c>
      <c r="I51" s="52">
        <f t="shared" si="3"/>
        <v>0</v>
      </c>
    </row>
    <row r="52" spans="1:9" x14ac:dyDescent="0.25">
      <c r="A52" s="32" t="s">
        <v>73</v>
      </c>
      <c r="B52" s="30">
        <v>104383.66767520957</v>
      </c>
      <c r="C52" s="33"/>
      <c r="D52" s="35">
        <v>117118.84050000001</v>
      </c>
      <c r="E52" s="35"/>
      <c r="F52" s="35"/>
      <c r="G52" s="57">
        <v>221502.66767520958</v>
      </c>
      <c r="H52" s="30">
        <f t="shared" si="4"/>
        <v>221502.50817520957</v>
      </c>
      <c r="I52" s="52">
        <f t="shared" si="3"/>
        <v>-7.2008162106075929E-7</v>
      </c>
    </row>
    <row r="53" spans="1:9" x14ac:dyDescent="0.25">
      <c r="A53" s="66"/>
      <c r="B53" s="38"/>
      <c r="C53" s="38"/>
      <c r="D53" s="67"/>
      <c r="E53" s="68"/>
      <c r="F53" s="38"/>
      <c r="G53" s="38"/>
      <c r="H53" s="37"/>
    </row>
    <row r="55" spans="1:9" x14ac:dyDescent="0.25">
      <c r="A55" s="40"/>
      <c r="B55" s="6"/>
      <c r="C55" s="6"/>
      <c r="D55" s="6"/>
      <c r="E55" s="6"/>
      <c r="F55" s="6"/>
      <c r="G55" s="6"/>
      <c r="H55" s="6"/>
    </row>
    <row r="56" spans="1:9" x14ac:dyDescent="0.25">
      <c r="A5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94B5-1CCC-4CFB-8512-FFBAE7410332}">
  <dimension ref="A1:P57"/>
  <sheetViews>
    <sheetView tabSelected="1" topLeftCell="A29" zoomScale="70" zoomScaleNormal="70" workbookViewId="0">
      <selection activeCell="G43" sqref="G43"/>
    </sheetView>
  </sheetViews>
  <sheetFormatPr defaultRowHeight="15" x14ac:dyDescent="0.25"/>
  <cols>
    <col min="1" max="1" width="42.140625" bestFit="1" customWidth="1"/>
    <col min="2" max="6" width="18.85546875" customWidth="1"/>
    <col min="7" max="9" width="18.5703125" customWidth="1"/>
    <col min="11" max="11" width="10.140625" bestFit="1" customWidth="1"/>
    <col min="12" max="12" width="12.7109375" bestFit="1" customWidth="1"/>
    <col min="13" max="13" width="14" bestFit="1" customWidth="1"/>
    <col min="14" max="14" width="10.140625" bestFit="1" customWidth="1"/>
    <col min="15" max="15" width="18.42578125" bestFit="1" customWidth="1"/>
    <col min="16" max="16" width="14" bestFit="1" customWidth="1"/>
  </cols>
  <sheetData>
    <row r="1" spans="1:9" x14ac:dyDescent="0.25">
      <c r="A1" s="22"/>
      <c r="B1" s="23" t="s">
        <v>62</v>
      </c>
      <c r="C1" s="24" t="s">
        <v>63</v>
      </c>
      <c r="D1" s="24" t="s">
        <v>64</v>
      </c>
      <c r="E1" s="24" t="s">
        <v>65</v>
      </c>
      <c r="F1" s="24" t="s">
        <v>66</v>
      </c>
      <c r="G1" s="70" t="s">
        <v>78</v>
      </c>
      <c r="H1" s="70" t="s">
        <v>79</v>
      </c>
      <c r="I1" s="73" t="s">
        <v>90</v>
      </c>
    </row>
    <row r="2" spans="1:9" x14ac:dyDescent="0.25">
      <c r="A2" s="24" t="s">
        <v>9</v>
      </c>
      <c r="B2" s="25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10</v>
      </c>
      <c r="B3" s="28">
        <f>'20-21 UG Grant -4+4% R1 -5%'!P4</f>
        <v>2169425.2799999998</v>
      </c>
      <c r="C3" s="29"/>
      <c r="D3" s="29">
        <v>440264.45067216107</v>
      </c>
      <c r="E3" s="29"/>
      <c r="F3" s="29"/>
      <c r="G3" s="30">
        <v>2704233.0129762548</v>
      </c>
      <c r="H3" s="29">
        <f>B3+C3+D3+E3+F3</f>
        <v>2609689.7306721611</v>
      </c>
      <c r="I3" s="39">
        <f t="shared" ref="I3:I14" si="0">H3/G3-1</f>
        <v>-3.4961218892909041E-2</v>
      </c>
    </row>
    <row r="4" spans="1:9" x14ac:dyDescent="0.25">
      <c r="A4" s="27" t="s">
        <v>11</v>
      </c>
      <c r="B4" s="28">
        <f>'20-21 UG Grant -4+4% R1 -5%'!P5</f>
        <v>8023801.9199999999</v>
      </c>
      <c r="C4" s="29">
        <f>'[1]-5%'!$F$30</f>
        <v>15171.108333333335</v>
      </c>
      <c r="D4" s="29">
        <v>957258.53898546111</v>
      </c>
      <c r="E4" s="29"/>
      <c r="F4" s="29"/>
      <c r="G4" s="30">
        <v>9378872.4111873712</v>
      </c>
      <c r="H4" s="29">
        <f t="shared" ref="H4:H52" si="1">B4+C4+D4+E4+F4</f>
        <v>8996231.5673187952</v>
      </c>
      <c r="I4" s="39">
        <f t="shared" si="0"/>
        <v>-4.079817136782371E-2</v>
      </c>
    </row>
    <row r="5" spans="1:9" x14ac:dyDescent="0.25">
      <c r="A5" s="27" t="s">
        <v>12</v>
      </c>
      <c r="B5" s="28">
        <f>'20-21 UG Grant -4+4% R1 -5%'!P6</f>
        <v>1607080</v>
      </c>
      <c r="C5" s="29">
        <f>'[1]-5%'!$F$35</f>
        <v>519182.32266283524</v>
      </c>
      <c r="D5" s="29">
        <v>496982.54394272895</v>
      </c>
      <c r="E5" s="29"/>
      <c r="F5" s="29"/>
      <c r="G5" s="30">
        <v>2815148.0695110788</v>
      </c>
      <c r="H5" s="29">
        <f t="shared" si="1"/>
        <v>2623244.866605564</v>
      </c>
      <c r="I5" s="39">
        <f t="shared" si="0"/>
        <v>-6.8168067244450015E-2</v>
      </c>
    </row>
    <row r="6" spans="1:9" x14ac:dyDescent="0.25">
      <c r="A6" s="27" t="s">
        <v>13</v>
      </c>
      <c r="B6" s="28">
        <f>'20-21 UG Grant -4+4% R1 -5%'!P7</f>
        <v>12741120</v>
      </c>
      <c r="C6" s="29">
        <f>'[1]-5%'!$F$34</f>
        <v>1362099.8268181819</v>
      </c>
      <c r="D6" s="29">
        <v>2255865.8408526136</v>
      </c>
      <c r="E6" s="29"/>
      <c r="F6" s="29"/>
      <c r="G6" s="30">
        <v>17557155.514210336</v>
      </c>
      <c r="H6" s="29">
        <f t="shared" si="1"/>
        <v>16359085.667670794</v>
      </c>
      <c r="I6" s="39">
        <f t="shared" si="0"/>
        <v>-6.8238265906447881E-2</v>
      </c>
    </row>
    <row r="7" spans="1:9" x14ac:dyDescent="0.25">
      <c r="A7" s="27" t="s">
        <v>14</v>
      </c>
      <c r="B7" s="28">
        <f>'20-21 UG Grant -4+4% R1 -5%'!P8</f>
        <v>4395875.5199999996</v>
      </c>
      <c r="C7" s="29">
        <f>'[1]-5%'!$F$31</f>
        <v>76267.248749999999</v>
      </c>
      <c r="D7" s="29">
        <v>848144.21329351654</v>
      </c>
      <c r="E7" s="29"/>
      <c r="F7" s="29"/>
      <c r="G7" s="30">
        <v>5521360.6823848123</v>
      </c>
      <c r="H7" s="29">
        <f t="shared" si="1"/>
        <v>5320286.9820435159</v>
      </c>
      <c r="I7" s="39">
        <f t="shared" si="0"/>
        <v>-3.6417418080075037E-2</v>
      </c>
    </row>
    <row r="8" spans="1:9" x14ac:dyDescent="0.25">
      <c r="A8" s="27" t="s">
        <v>15</v>
      </c>
      <c r="B8" s="28">
        <f>'20-21 UG Grant -4+4% R1 -5%'!P9</f>
        <v>1437656.64</v>
      </c>
      <c r="C8" s="29"/>
      <c r="D8" s="29">
        <v>344775.12646380026</v>
      </c>
      <c r="E8" s="29"/>
      <c r="F8" s="29"/>
      <c r="G8" s="30">
        <v>1860289.4653076641</v>
      </c>
      <c r="H8" s="29">
        <f t="shared" si="1"/>
        <v>1782431.7664638001</v>
      </c>
      <c r="I8" s="39">
        <f t="shared" si="0"/>
        <v>-4.185246452007807E-2</v>
      </c>
    </row>
    <row r="9" spans="1:9" x14ac:dyDescent="0.25">
      <c r="A9" s="27" t="s">
        <v>16</v>
      </c>
      <c r="B9" s="28">
        <f>'20-21 UG Grant -4+4% R1 -5%'!P10</f>
        <v>20249010</v>
      </c>
      <c r="C9" s="29">
        <f>'[1]-5%'!$F$29</f>
        <v>56395.475438596484</v>
      </c>
      <c r="D9" s="29">
        <v>2640864.9229709259</v>
      </c>
      <c r="E9" s="29"/>
      <c r="F9" s="29"/>
      <c r="G9" s="30">
        <v>24336719.442657087</v>
      </c>
      <c r="H9" s="29">
        <f t="shared" si="1"/>
        <v>22946270.398409519</v>
      </c>
      <c r="I9" s="39">
        <f t="shared" si="0"/>
        <v>-5.7133791081570573E-2</v>
      </c>
    </row>
    <row r="10" spans="1:9" x14ac:dyDescent="0.25">
      <c r="A10" s="27" t="s">
        <v>17</v>
      </c>
      <c r="B10" s="28">
        <f>'20-21 UG Grant -4+4% R1 -5%'!P11</f>
        <v>10968168.640000001</v>
      </c>
      <c r="C10" s="29">
        <f>'[1]-5%'!$F$33</f>
        <v>679035.57523535052</v>
      </c>
      <c r="D10" s="29">
        <v>1955866.522842359</v>
      </c>
      <c r="E10" s="29"/>
      <c r="F10" s="29"/>
      <c r="G10" s="30">
        <v>14262332.181330204</v>
      </c>
      <c r="H10" s="29">
        <f t="shared" si="1"/>
        <v>13603070.738077709</v>
      </c>
      <c r="I10" s="39">
        <f t="shared" si="0"/>
        <v>-4.6223957966389673E-2</v>
      </c>
    </row>
    <row r="11" spans="1:9" x14ac:dyDescent="0.25">
      <c r="A11" s="27" t="s">
        <v>18</v>
      </c>
      <c r="B11" s="28">
        <f>'20-21 UG Grant -4+4% R1 -5%'!P12</f>
        <v>8869565</v>
      </c>
      <c r="C11" s="29">
        <f>'[1]-5%'!$F$28</f>
        <v>230840.97321937321</v>
      </c>
      <c r="D11" s="29">
        <v>861715.7924264035</v>
      </c>
      <c r="E11" s="29"/>
      <c r="F11" s="29"/>
      <c r="G11" s="30">
        <v>10604806.926300118</v>
      </c>
      <c r="H11" s="29">
        <f t="shared" si="1"/>
        <v>9962121.7656457759</v>
      </c>
      <c r="I11" s="39">
        <f t="shared" si="0"/>
        <v>-6.0603192978504028E-2</v>
      </c>
    </row>
    <row r="12" spans="1:9" x14ac:dyDescent="0.25">
      <c r="A12" s="27" t="s">
        <v>19</v>
      </c>
      <c r="B12" s="28">
        <f>'20-21 UG Grant -4+4% R1 -5%'!P13</f>
        <v>11692400</v>
      </c>
      <c r="C12" s="29">
        <f>'[1]-5%'!$F$38</f>
        <v>6122089.5893504061</v>
      </c>
      <c r="D12" s="29">
        <v>1078201.9288657296</v>
      </c>
      <c r="E12" s="29"/>
      <c r="F12" s="29"/>
      <c r="G12" s="30">
        <v>19866118.144987777</v>
      </c>
      <c r="H12" s="29">
        <f t="shared" si="1"/>
        <v>18892691.518216137</v>
      </c>
      <c r="I12" s="39">
        <f t="shared" si="0"/>
        <v>-4.8999337448178637E-2</v>
      </c>
    </row>
    <row r="13" spans="1:9" x14ac:dyDescent="0.25">
      <c r="A13" s="27" t="s">
        <v>20</v>
      </c>
      <c r="B13" s="28">
        <f>'20-21 UG Grant -4+4% R1 -5%'!P14</f>
        <v>7571213.5200000005</v>
      </c>
      <c r="C13" s="29">
        <f>'[1]-5%'!$F$32</f>
        <v>348178.3066666667</v>
      </c>
      <c r="D13" s="29">
        <v>1250629.6191252335</v>
      </c>
      <c r="E13" s="29"/>
      <c r="F13" s="29"/>
      <c r="G13" s="30">
        <v>9572181.2726097796</v>
      </c>
      <c r="H13" s="29">
        <f t="shared" si="1"/>
        <v>9170021.4457919002</v>
      </c>
      <c r="I13" s="39">
        <f t="shared" si="0"/>
        <v>-4.20133943731964E-2</v>
      </c>
    </row>
    <row r="14" spans="1:9" x14ac:dyDescent="0.25">
      <c r="A14" s="27" t="s">
        <v>21</v>
      </c>
      <c r="B14" s="28">
        <f>'20-21 UG Grant -4+4% R1 -5%'!P15</f>
        <v>1257787.2</v>
      </c>
      <c r="C14" s="29"/>
      <c r="D14" s="29">
        <v>274150.31587751932</v>
      </c>
      <c r="E14" s="29"/>
      <c r="F14" s="29"/>
      <c r="G14" s="30">
        <v>1609980.7629396506</v>
      </c>
      <c r="H14" s="29">
        <f t="shared" si="1"/>
        <v>1531937.5158775193</v>
      </c>
      <c r="I14" s="39">
        <f t="shared" si="0"/>
        <v>-4.8474645696780061E-2</v>
      </c>
    </row>
    <row r="15" spans="1:9" x14ac:dyDescent="0.25">
      <c r="A15" s="26"/>
      <c r="B15" s="28"/>
      <c r="C15" s="29"/>
      <c r="D15" s="29"/>
      <c r="E15" s="29"/>
      <c r="F15" s="29"/>
      <c r="G15" s="30"/>
      <c r="H15" s="29"/>
      <c r="I15" s="39"/>
    </row>
    <row r="16" spans="1:9" x14ac:dyDescent="0.25">
      <c r="A16" s="56" t="s">
        <v>22</v>
      </c>
      <c r="B16" s="28"/>
      <c r="C16" s="29"/>
      <c r="D16" s="29"/>
      <c r="E16" s="29"/>
      <c r="F16" s="29"/>
      <c r="G16" s="30"/>
      <c r="H16" s="29"/>
      <c r="I16" s="39"/>
    </row>
    <row r="17" spans="1:9" x14ac:dyDescent="0.25">
      <c r="A17" s="27" t="s">
        <v>23</v>
      </c>
      <c r="B17" s="28">
        <f>'20-21 UG Grant -4+4% R1 -5%'!P18</f>
        <v>2883982.08</v>
      </c>
      <c r="C17" s="29"/>
      <c r="D17" s="29">
        <v>446033.47468514449</v>
      </c>
      <c r="E17" s="29"/>
      <c r="F17" s="29"/>
      <c r="G17" s="30">
        <v>3509863.4595171963</v>
      </c>
      <c r="H17" s="29">
        <f t="shared" si="1"/>
        <v>3330015.5546851447</v>
      </c>
      <c r="I17" s="39">
        <f t="shared" ref="I17:I29" si="2">H17/G17-1</f>
        <v>-5.1240712610738037E-2</v>
      </c>
    </row>
    <row r="18" spans="1:9" x14ac:dyDescent="0.25">
      <c r="A18" s="27" t="s">
        <v>24</v>
      </c>
      <c r="B18" s="28">
        <f>'20-21 UG Grant -4+4% R1 -5%'!P19</f>
        <v>457416</v>
      </c>
      <c r="C18" s="29"/>
      <c r="D18" s="29">
        <v>86436.715966967444</v>
      </c>
      <c r="E18" s="29"/>
      <c r="F18" s="29"/>
      <c r="G18" s="30">
        <v>571877.29568785336</v>
      </c>
      <c r="H18" s="29">
        <f t="shared" si="1"/>
        <v>543852.7159669674</v>
      </c>
      <c r="I18" s="39">
        <f t="shared" si="2"/>
        <v>-4.9004532846819937E-2</v>
      </c>
    </row>
    <row r="19" spans="1:9" x14ac:dyDescent="0.25">
      <c r="A19" s="27" t="s">
        <v>25</v>
      </c>
      <c r="B19" s="28">
        <f>'20-21 UG Grant -4+4% R1 -5%'!P20</f>
        <v>3697765.44</v>
      </c>
      <c r="C19" s="29"/>
      <c r="D19" s="29">
        <v>393288.61741153913</v>
      </c>
      <c r="E19" s="29"/>
      <c r="F19" s="29"/>
      <c r="G19" s="30">
        <v>4268463.8464730764</v>
      </c>
      <c r="H19" s="29">
        <f t="shared" si="1"/>
        <v>4091054.0574115389</v>
      </c>
      <c r="I19" s="39">
        <f t="shared" si="2"/>
        <v>-4.1562912429989662E-2</v>
      </c>
    </row>
    <row r="20" spans="1:9" x14ac:dyDescent="0.25">
      <c r="A20" s="27" t="s">
        <v>26</v>
      </c>
      <c r="B20" s="28">
        <f>'20-21 UG Grant -4+4% R1 -5%'!P21</f>
        <v>5126663.04</v>
      </c>
      <c r="C20" s="29"/>
      <c r="D20" s="29">
        <v>915753.28499012708</v>
      </c>
      <c r="E20" s="29"/>
      <c r="F20" s="29"/>
      <c r="G20" s="30">
        <v>6287417.626421568</v>
      </c>
      <c r="H20" s="29">
        <f t="shared" si="1"/>
        <v>6042416.3249901272</v>
      </c>
      <c r="I20" s="39">
        <f t="shared" si="2"/>
        <v>-3.8966920282481943E-2</v>
      </c>
    </row>
    <row r="21" spans="1:9" x14ac:dyDescent="0.25">
      <c r="A21" s="27" t="s">
        <v>27</v>
      </c>
      <c r="B21" s="28">
        <f>'20-21 UG Grant -4+4% R1 -5%'!P22</f>
        <v>8601984</v>
      </c>
      <c r="C21" s="29"/>
      <c r="D21" s="29">
        <v>1175878.6475497717</v>
      </c>
      <c r="E21" s="29"/>
      <c r="F21" s="29"/>
      <c r="G21" s="30">
        <v>10274482.742967853</v>
      </c>
      <c r="H21" s="29">
        <f t="shared" si="1"/>
        <v>9777862.6475497708</v>
      </c>
      <c r="I21" s="39">
        <f t="shared" si="2"/>
        <v>-4.8335289263878867E-2</v>
      </c>
    </row>
    <row r="22" spans="1:9" x14ac:dyDescent="0.25">
      <c r="A22" s="27" t="s">
        <v>28</v>
      </c>
      <c r="B22" s="28">
        <f>'20-21 UG Grant -4+4% R1 -5%'!P23</f>
        <v>523055</v>
      </c>
      <c r="C22" s="29"/>
      <c r="D22" s="29">
        <v>126621.82557352808</v>
      </c>
      <c r="E22" s="29"/>
      <c r="F22" s="29"/>
      <c r="G22" s="30">
        <v>693413.10200138821</v>
      </c>
      <c r="H22" s="29">
        <f t="shared" si="1"/>
        <v>649676.82557352807</v>
      </c>
      <c r="I22" s="39">
        <f t="shared" si="2"/>
        <v>-6.307391121053918E-2</v>
      </c>
    </row>
    <row r="23" spans="1:9" x14ac:dyDescent="0.25">
      <c r="A23" s="27" t="s">
        <v>29</v>
      </c>
      <c r="B23" s="28">
        <f>'20-21 UG Grant -4+4% R1 -5%'!P24</f>
        <v>631250.88</v>
      </c>
      <c r="C23" s="29"/>
      <c r="D23" s="29">
        <v>139952.71743577282</v>
      </c>
      <c r="E23" s="29"/>
      <c r="F23" s="29"/>
      <c r="G23" s="30">
        <v>806103.26463300711</v>
      </c>
      <c r="H23" s="29">
        <f t="shared" si="1"/>
        <v>771203.59743577288</v>
      </c>
      <c r="I23" s="39">
        <f t="shared" si="2"/>
        <v>-4.329428837274707E-2</v>
      </c>
    </row>
    <row r="24" spans="1:9" x14ac:dyDescent="0.25">
      <c r="A24" s="27" t="s">
        <v>30</v>
      </c>
      <c r="B24" s="28">
        <f>'20-21 UG Grant -4+4% R1 -5%'!P25</f>
        <v>831506.88</v>
      </c>
      <c r="C24" s="29"/>
      <c r="D24" s="29">
        <v>195391.06945560066</v>
      </c>
      <c r="E24" s="29"/>
      <c r="F24" s="29"/>
      <c r="G24" s="30">
        <v>1083520.2323458756</v>
      </c>
      <c r="H24" s="29">
        <f t="shared" si="1"/>
        <v>1026897.9494556007</v>
      </c>
      <c r="I24" s="39">
        <f t="shared" si="2"/>
        <v>-5.2257707055164859E-2</v>
      </c>
    </row>
    <row r="25" spans="1:9" x14ac:dyDescent="0.25">
      <c r="A25" s="27" t="s">
        <v>31</v>
      </c>
      <c r="B25" s="28">
        <f>'20-21 UG Grant -4+4% R1 -5%'!P26</f>
        <v>985617.6</v>
      </c>
      <c r="C25" s="29"/>
      <c r="D25" s="29">
        <v>224585.48812615269</v>
      </c>
      <c r="E25" s="29"/>
      <c r="F25" s="29"/>
      <c r="G25" s="30">
        <v>1295675.0465101192</v>
      </c>
      <c r="H25" s="29">
        <f t="shared" si="1"/>
        <v>1210203.0881261528</v>
      </c>
      <c r="I25" s="39">
        <f t="shared" si="2"/>
        <v>-6.5967125487354172E-2</v>
      </c>
    </row>
    <row r="26" spans="1:9" x14ac:dyDescent="0.25">
      <c r="A26" s="27" t="s">
        <v>32</v>
      </c>
      <c r="B26" s="28">
        <f>'20-21 UG Grant -4+4% R1 -5%'!P27</f>
        <v>9828495</v>
      </c>
      <c r="C26" s="29"/>
      <c r="D26" s="29">
        <v>1132649.4206785616</v>
      </c>
      <c r="E26" s="29"/>
      <c r="F26" s="29"/>
      <c r="G26" s="30">
        <v>11745335.972945862</v>
      </c>
      <c r="H26" s="29">
        <f t="shared" si="1"/>
        <v>10961144.420678562</v>
      </c>
      <c r="I26" s="39">
        <f t="shared" si="2"/>
        <v>-6.6766208652830561E-2</v>
      </c>
    </row>
    <row r="27" spans="1:9" x14ac:dyDescent="0.25">
      <c r="A27" s="27" t="s">
        <v>33</v>
      </c>
      <c r="B27" s="28">
        <f>'20-21 UG Grant -4+4% R1 -5%'!P28</f>
        <v>4566352.3199999994</v>
      </c>
      <c r="C27" s="29"/>
      <c r="D27" s="29">
        <v>803979.5806888123</v>
      </c>
      <c r="E27" s="29"/>
      <c r="F27" s="29"/>
      <c r="G27" s="30">
        <v>5628417.6729099881</v>
      </c>
      <c r="H27" s="29">
        <f t="shared" si="1"/>
        <v>5370331.9006888121</v>
      </c>
      <c r="I27" s="39">
        <f t="shared" si="2"/>
        <v>-4.585405476629123E-2</v>
      </c>
    </row>
    <row r="28" spans="1:9" x14ac:dyDescent="0.25">
      <c r="A28" s="27" t="s">
        <v>34</v>
      </c>
      <c r="B28" s="28">
        <f>'20-21 UG Grant -4+4% R1 -5%'!P29</f>
        <v>3663622.08</v>
      </c>
      <c r="C28" s="29">
        <f>'[1]-5%'!$F$39</f>
        <v>61452.38</v>
      </c>
      <c r="D28" s="29">
        <v>465454.38760515273</v>
      </c>
      <c r="E28" s="29"/>
      <c r="F28" s="29"/>
      <c r="G28" s="30">
        <v>4421353.3593746545</v>
      </c>
      <c r="H28" s="29">
        <f t="shared" si="1"/>
        <v>4190528.8476051525</v>
      </c>
      <c r="I28" s="39">
        <f t="shared" si="2"/>
        <v>-5.2206755038043173E-2</v>
      </c>
    </row>
    <row r="29" spans="1:9" x14ac:dyDescent="0.25">
      <c r="A29" s="27" t="s">
        <v>35</v>
      </c>
      <c r="B29" s="28">
        <f>'20-21 UG Grant -4+4% R1 -5%'!P30</f>
        <v>1125959.04</v>
      </c>
      <c r="C29" s="29"/>
      <c r="D29" s="29">
        <v>363428.47330281866</v>
      </c>
      <c r="E29" s="29"/>
      <c r="F29" s="29"/>
      <c r="G29" s="30">
        <v>1570884.8921479506</v>
      </c>
      <c r="H29" s="29">
        <f t="shared" si="1"/>
        <v>1489387.5133028186</v>
      </c>
      <c r="I29" s="39">
        <f t="shared" si="2"/>
        <v>-5.1879917651825203E-2</v>
      </c>
    </row>
    <row r="30" spans="1:9" x14ac:dyDescent="0.25">
      <c r="A30" s="26"/>
      <c r="B30" s="28"/>
      <c r="C30" s="29"/>
      <c r="D30" s="29"/>
      <c r="E30" s="29"/>
      <c r="F30" s="29"/>
      <c r="G30" s="30"/>
      <c r="H30" s="29"/>
      <c r="I30" s="39"/>
    </row>
    <row r="31" spans="1:9" x14ac:dyDescent="0.25">
      <c r="A31" s="56" t="s">
        <v>36</v>
      </c>
      <c r="B31" s="28"/>
      <c r="C31" s="29"/>
      <c r="D31" s="29"/>
      <c r="E31" s="29"/>
      <c r="F31" s="29"/>
      <c r="G31" s="30"/>
      <c r="H31" s="29"/>
      <c r="I31" s="39"/>
    </row>
    <row r="32" spans="1:9" x14ac:dyDescent="0.25">
      <c r="A32" s="27" t="s">
        <v>37</v>
      </c>
      <c r="B32" s="28">
        <f>'20-21 UG Grant -4+4% R1 -5%'!P33</f>
        <v>3766129.12</v>
      </c>
      <c r="C32" s="29"/>
      <c r="D32" s="29">
        <v>395064.14781001949</v>
      </c>
      <c r="E32" s="29"/>
      <c r="F32" s="29"/>
      <c r="G32" s="30">
        <v>4340569.069046394</v>
      </c>
      <c r="H32" s="29">
        <f t="shared" si="1"/>
        <v>4161193.2678100197</v>
      </c>
      <c r="I32" s="39">
        <f>H32/G32-1</f>
        <v>-4.1325411111539423E-2</v>
      </c>
    </row>
    <row r="33" spans="1:9" x14ac:dyDescent="0.25">
      <c r="A33" s="27" t="s">
        <v>38</v>
      </c>
      <c r="B33" s="28">
        <f>'20-21 UG Grant -4+4% R1 -5%'!P34</f>
        <v>2115521.2799999998</v>
      </c>
      <c r="C33" s="29"/>
      <c r="D33" s="29">
        <v>185192.63118996256</v>
      </c>
      <c r="E33" s="29"/>
      <c r="F33" s="29"/>
      <c r="G33" s="30">
        <v>2424846.7171771023</v>
      </c>
      <c r="H33" s="29">
        <f t="shared" si="1"/>
        <v>2300713.9111899622</v>
      </c>
      <c r="I33" s="39">
        <f>H33/G33-1</f>
        <v>-5.1192021791649611E-2</v>
      </c>
    </row>
    <row r="34" spans="1:9" x14ac:dyDescent="0.25">
      <c r="A34" s="26"/>
      <c r="B34" s="28"/>
      <c r="C34" s="29"/>
      <c r="D34" s="29"/>
      <c r="E34" s="29"/>
      <c r="F34" s="29"/>
      <c r="G34" s="30"/>
      <c r="H34" s="29"/>
      <c r="I34" s="39"/>
    </row>
    <row r="35" spans="1:9" x14ac:dyDescent="0.25">
      <c r="A35" s="56" t="s">
        <v>39</v>
      </c>
      <c r="B35" s="28"/>
      <c r="C35" s="29"/>
      <c r="D35" s="29"/>
      <c r="E35" s="29"/>
      <c r="F35" s="29"/>
      <c r="G35" s="30"/>
      <c r="H35" s="29"/>
      <c r="I35" s="39"/>
    </row>
    <row r="36" spans="1:9" x14ac:dyDescent="0.25">
      <c r="A36" s="27" t="s">
        <v>40</v>
      </c>
      <c r="B36" s="28">
        <f>'20-21 UG Grant -4+4% R1 -5%'!P37</f>
        <v>2254325.84</v>
      </c>
      <c r="C36" s="29">
        <f>'[1]-5%'!$F$27</f>
        <v>8420.7200000000012</v>
      </c>
      <c r="D36" s="29">
        <v>243975.07319806714</v>
      </c>
      <c r="E36" s="29"/>
      <c r="F36" s="29"/>
      <c r="G36" s="30">
        <v>2609479.6276495378</v>
      </c>
      <c r="H36" s="29">
        <f t="shared" si="1"/>
        <v>2506721.6331980671</v>
      </c>
      <c r="I36" s="39">
        <f>H36/G36-1</f>
        <v>-3.9378730288854191E-2</v>
      </c>
    </row>
    <row r="37" spans="1:9" x14ac:dyDescent="0.25">
      <c r="A37" s="27" t="s">
        <v>41</v>
      </c>
      <c r="B37" s="28">
        <f>'20-21 UG Grant -4+4% R1 -5%'!P38</f>
        <v>152523.84</v>
      </c>
      <c r="C37" s="29"/>
      <c r="D37" s="29">
        <v>153134.21175836041</v>
      </c>
      <c r="E37" s="29"/>
      <c r="F37" s="29"/>
      <c r="G37" s="30">
        <v>320108.83960208436</v>
      </c>
      <c r="H37" s="29">
        <f t="shared" si="1"/>
        <v>305658.05175836041</v>
      </c>
      <c r="I37" s="39">
        <f>H37/G37-1</f>
        <v>-4.5143357683240515E-2</v>
      </c>
    </row>
    <row r="38" spans="1:9" x14ac:dyDescent="0.25">
      <c r="A38" s="27" t="s">
        <v>42</v>
      </c>
      <c r="B38" s="28">
        <f>'20-21 UG Grant -4+4% R1 -5%'!P39</f>
        <v>131924</v>
      </c>
      <c r="C38" s="29"/>
      <c r="D38" s="29">
        <v>32202.741765946528</v>
      </c>
      <c r="E38" s="29"/>
      <c r="F38" s="29"/>
      <c r="G38" s="30">
        <v>167984.54956390552</v>
      </c>
      <c r="H38" s="29">
        <f t="shared" si="1"/>
        <v>164126.74176594653</v>
      </c>
      <c r="I38" s="39">
        <f>H38/G38-1</f>
        <v>-2.2965253697283528E-2</v>
      </c>
    </row>
    <row r="39" spans="1:9" x14ac:dyDescent="0.25">
      <c r="A39" s="27" t="s">
        <v>43</v>
      </c>
      <c r="B39" s="28">
        <f>'20-21 UG Grant -4+4% R1 -5%'!P40</f>
        <v>2313800.64</v>
      </c>
      <c r="C39" s="29">
        <f>'[1]-5%'!$F$37</f>
        <v>1344247.457865353</v>
      </c>
      <c r="D39" s="29">
        <v>527640.71654128574</v>
      </c>
      <c r="E39" s="29"/>
      <c r="F39" s="29"/>
      <c r="G39" s="30">
        <v>4410696.1982136862</v>
      </c>
      <c r="H39" s="29">
        <f t="shared" si="1"/>
        <v>4185688.814406639</v>
      </c>
      <c r="I39" s="39">
        <f>H39/G39-1</f>
        <v>-5.101402900933738E-2</v>
      </c>
    </row>
    <row r="40" spans="1:9" s="81" customFormat="1" x14ac:dyDescent="0.25">
      <c r="A40" s="75" t="s">
        <v>44</v>
      </c>
      <c r="B40" s="76">
        <f>'20-21 UG Grant -4+4% R1 -5%'!P41</f>
        <v>1462840</v>
      </c>
      <c r="C40" s="77">
        <f>'[1]-5%'!$F$36</f>
        <v>222923.54382882884</v>
      </c>
      <c r="D40" s="77">
        <v>525636.41948816529</v>
      </c>
      <c r="E40" s="77"/>
      <c r="F40" s="77"/>
      <c r="G40" s="79">
        <v>2245563</v>
      </c>
      <c r="H40" s="77">
        <f t="shared" si="1"/>
        <v>2211399.9633169938</v>
      </c>
      <c r="I40" s="82">
        <f>H40/G40-1</f>
        <v>-1.5213573025119387E-2</v>
      </c>
    </row>
    <row r="41" spans="1:9" x14ac:dyDescent="0.25">
      <c r="A41" s="26"/>
      <c r="B41" s="28"/>
      <c r="C41" s="29"/>
      <c r="D41" s="29"/>
      <c r="E41" s="29"/>
      <c r="F41" s="29"/>
      <c r="G41" s="30"/>
      <c r="H41" s="29"/>
      <c r="I41" s="39"/>
    </row>
    <row r="42" spans="1:9" x14ac:dyDescent="0.25">
      <c r="A42" s="56" t="s">
        <v>45</v>
      </c>
      <c r="B42" s="28"/>
      <c r="C42" s="29"/>
      <c r="D42" s="29"/>
      <c r="E42" s="29"/>
      <c r="F42" s="29"/>
      <c r="G42" s="30"/>
      <c r="H42" s="29"/>
      <c r="I42" s="39"/>
    </row>
    <row r="43" spans="1:9" x14ac:dyDescent="0.25">
      <c r="A43" s="27" t="s">
        <v>67</v>
      </c>
      <c r="B43" s="28">
        <f>'20-21 UG Grant -4+4% R1 -5%'!P44</f>
        <v>145006.07999999999</v>
      </c>
      <c r="C43" s="29"/>
      <c r="D43" s="29">
        <v>5716.1216892751872</v>
      </c>
      <c r="E43" s="29"/>
      <c r="F43" s="29"/>
      <c r="G43" s="30">
        <v>166582.28220456076</v>
      </c>
      <c r="H43" s="29">
        <f t="shared" si="1"/>
        <v>150722.20168927519</v>
      </c>
      <c r="I43" s="39">
        <f>H43/G43-1</f>
        <v>-9.5208687895208532E-2</v>
      </c>
    </row>
    <row r="44" spans="1:9" x14ac:dyDescent="0.25">
      <c r="A44" s="27" t="s">
        <v>47</v>
      </c>
      <c r="B44" s="28">
        <f>'20-21 UG Grant -4+4% R1 -5%'!P45</f>
        <v>746696.08000000007</v>
      </c>
      <c r="C44" s="29"/>
      <c r="D44" s="29">
        <v>59376.206834757424</v>
      </c>
      <c r="E44" s="29"/>
      <c r="F44" s="29"/>
      <c r="G44" s="30">
        <v>845360.18555709801</v>
      </c>
      <c r="H44" s="29">
        <f t="shared" si="1"/>
        <v>806072.28683475754</v>
      </c>
      <c r="I44" s="39">
        <f>H44/G44-1</f>
        <v>-4.6474744604217966E-2</v>
      </c>
    </row>
    <row r="45" spans="1:9" x14ac:dyDescent="0.25">
      <c r="A45" s="27" t="s">
        <v>48</v>
      </c>
      <c r="B45" s="28">
        <f>'20-21 UG Grant -4+4% R1 -5%'!P46</f>
        <v>520560</v>
      </c>
      <c r="C45" s="29"/>
      <c r="D45" s="29">
        <v>29470.120566689802</v>
      </c>
      <c r="E45" s="29"/>
      <c r="F45" s="29"/>
      <c r="G45" s="30">
        <v>588620.98634156503</v>
      </c>
      <c r="H45" s="29">
        <f t="shared" si="1"/>
        <v>550030.12056668976</v>
      </c>
      <c r="I45" s="39">
        <f>H45/G45-1</f>
        <v>-6.5561484674081516E-2</v>
      </c>
    </row>
    <row r="46" spans="1:9" x14ac:dyDescent="0.25">
      <c r="A46" s="27"/>
      <c r="B46" s="28"/>
      <c r="C46" s="29"/>
      <c r="D46" s="29"/>
      <c r="E46" s="29"/>
      <c r="F46" s="29"/>
      <c r="G46" s="30"/>
      <c r="H46" s="29"/>
      <c r="I46" s="39"/>
    </row>
    <row r="47" spans="1:9" x14ac:dyDescent="0.25">
      <c r="A47" s="56" t="s">
        <v>68</v>
      </c>
      <c r="B47" s="28"/>
      <c r="C47" s="29"/>
      <c r="D47" s="29"/>
      <c r="E47" s="29"/>
      <c r="F47" s="29"/>
      <c r="G47" s="30"/>
      <c r="H47" s="29"/>
      <c r="I47" s="39"/>
    </row>
    <row r="48" spans="1:9" x14ac:dyDescent="0.25">
      <c r="A48" s="54" t="s">
        <v>69</v>
      </c>
      <c r="B48" s="30">
        <v>215054.35</v>
      </c>
      <c r="C48" s="33"/>
      <c r="D48" s="34"/>
      <c r="E48" s="35"/>
      <c r="F48" s="33"/>
      <c r="G48" s="33">
        <v>226373</v>
      </c>
      <c r="H48" s="29">
        <f t="shared" si="1"/>
        <v>215054.35</v>
      </c>
      <c r="I48" s="39">
        <f>H48/G48-1</f>
        <v>-4.9999999999999933E-2</v>
      </c>
    </row>
    <row r="49" spans="1:16" x14ac:dyDescent="0.25">
      <c r="A49" s="54" t="s">
        <v>70</v>
      </c>
      <c r="B49" s="30">
        <v>264368.45140357333</v>
      </c>
      <c r="C49" s="33"/>
      <c r="D49" s="34"/>
      <c r="E49" s="35"/>
      <c r="F49" s="33"/>
      <c r="G49" s="33">
        <v>278282.58042481402</v>
      </c>
      <c r="H49" s="29">
        <f t="shared" si="1"/>
        <v>264368.45140357333</v>
      </c>
      <c r="I49" s="39">
        <f>H49/G49-1</f>
        <v>-4.9999999999999933E-2</v>
      </c>
    </row>
    <row r="50" spans="1:16" x14ac:dyDescent="0.25">
      <c r="A50" s="54" t="s">
        <v>71</v>
      </c>
      <c r="B50" s="30">
        <v>68233.509938469506</v>
      </c>
      <c r="C50" s="33"/>
      <c r="D50" s="34"/>
      <c r="E50" s="35"/>
      <c r="F50" s="33"/>
      <c r="G50" s="33">
        <v>71824.747303652111</v>
      </c>
      <c r="H50" s="29">
        <f t="shared" si="1"/>
        <v>68233.509938469506</v>
      </c>
      <c r="I50" s="39">
        <f>H50/G50-1</f>
        <v>-5.0000000000000044E-2</v>
      </c>
    </row>
    <row r="51" spans="1:16" x14ac:dyDescent="0.25">
      <c r="A51" s="54" t="s">
        <v>72</v>
      </c>
      <c r="B51" s="30">
        <v>76269.402500771423</v>
      </c>
      <c r="C51" s="33"/>
      <c r="D51" s="34"/>
      <c r="E51" s="35"/>
      <c r="F51" s="33"/>
      <c r="G51" s="33">
        <v>80283.581579759397</v>
      </c>
      <c r="H51" s="29">
        <f t="shared" si="1"/>
        <v>76269.402500771423</v>
      </c>
      <c r="I51" s="39">
        <f>H51/G51-1</f>
        <v>-5.0000000000000044E-2</v>
      </c>
    </row>
    <row r="52" spans="1:16" x14ac:dyDescent="0.25">
      <c r="A52" s="54" t="s">
        <v>73</v>
      </c>
      <c r="B52" s="30">
        <v>99164.484291449087</v>
      </c>
      <c r="C52" s="33"/>
      <c r="D52" s="35">
        <v>114198.67863085527</v>
      </c>
      <c r="E52" s="35"/>
      <c r="F52" s="35"/>
      <c r="G52" s="33">
        <v>221502.66767520958</v>
      </c>
      <c r="H52" s="29">
        <f t="shared" si="1"/>
        <v>213363.16292230436</v>
      </c>
      <c r="I52" s="39">
        <f>H52/G52-1</f>
        <v>-3.6746757221182591E-2</v>
      </c>
    </row>
    <row r="53" spans="1:16" x14ac:dyDescent="0.25">
      <c r="P53" s="6"/>
    </row>
    <row r="54" spans="1:16" x14ac:dyDescent="0.25">
      <c r="A54" s="40"/>
      <c r="B54" s="6"/>
      <c r="C54" s="6"/>
      <c r="D54" s="6"/>
      <c r="E54" s="6"/>
      <c r="F54" s="6"/>
      <c r="G54" s="6"/>
      <c r="H54" s="6"/>
      <c r="P54" s="6"/>
    </row>
    <row r="55" spans="1:16" x14ac:dyDescent="0.25">
      <c r="A55" s="6"/>
      <c r="P55" s="6"/>
    </row>
    <row r="56" spans="1:16" x14ac:dyDescent="0.25">
      <c r="P56" s="6"/>
    </row>
    <row r="57" spans="1:16" x14ac:dyDescent="0.25">
      <c r="P5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57B62084B4F147A5CC37AF28EC21D4" ma:contentTypeVersion="7" ma:contentTypeDescription="Create a new document." ma:contentTypeScope="" ma:versionID="88332b152aed3cfde86daf11d2d0c09e">
  <xsd:schema xmlns:xsd="http://www.w3.org/2001/XMLSchema" xmlns:xs="http://www.w3.org/2001/XMLSchema" xmlns:p="http://schemas.microsoft.com/office/2006/metadata/properties" xmlns:ns3="649e1314-850a-4d8d-a2d1-c35e999c5645" xmlns:ns4="42980aa3-8f62-4eb9-80b5-cab28671ee3e" targetNamespace="http://schemas.microsoft.com/office/2006/metadata/properties" ma:root="true" ma:fieldsID="49ec7f29407849dc0ac79e4637d4ad76" ns3:_="" ns4:_="">
    <xsd:import namespace="649e1314-850a-4d8d-a2d1-c35e999c5645"/>
    <xsd:import namespace="42980aa3-8f62-4eb9-80b5-cab28671ee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e1314-850a-4d8d-a2d1-c35e999c5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80aa3-8f62-4eb9-80b5-cab28671ee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8B6DCE-D36B-4BBC-BA26-B56EA992D5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EE8C3-F3DE-43A1-B437-8E7966C4F277}">
  <ds:schemaRefs>
    <ds:schemaRef ds:uri="http://schemas.microsoft.com/office/2006/documentManagement/types"/>
    <ds:schemaRef ds:uri="http://purl.org/dc/dcmitype/"/>
    <ds:schemaRef ds:uri="649e1314-850a-4d8d-a2d1-c35e999c5645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42980aa3-8f62-4eb9-80b5-cab28671ee3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4D5D87-AFD3-4EFB-991B-8E7C0407B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e1314-850a-4d8d-a2d1-c35e999c5645"/>
    <ds:schemaRef ds:uri="42980aa3-8f62-4eb9-80b5-cab28671ee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20-21 UG Grant -2+7% R1 2%</vt:lpstr>
      <vt:lpstr>20-21 UG Grant -3+5% R1 FLAT</vt:lpstr>
      <vt:lpstr>20-21 UG Grant -4+4% R1 -5%</vt:lpstr>
      <vt:lpstr>FY 21 +2%</vt:lpstr>
      <vt:lpstr>FY 21 flat</vt:lpstr>
      <vt:lpstr>FY 21 -5%</vt:lpstr>
      <vt:lpstr>'20-21 UG Grant -2+7% R1 2%'!Print_Area</vt:lpstr>
      <vt:lpstr>'20-21 UG Grant -3+5% R1 FLAT'!Print_Area</vt:lpstr>
      <vt:lpstr>'20-21 UG Grant -4+4% R1 -5%'!Print_Area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Burns</dc:creator>
  <cp:lastModifiedBy>Emily Burns</cp:lastModifiedBy>
  <dcterms:created xsi:type="dcterms:W3CDTF">2020-03-25T16:51:33Z</dcterms:created>
  <dcterms:modified xsi:type="dcterms:W3CDTF">2020-03-27T04:29:49Z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0x0101002757B62084B4F147A5CC37AF28EC21D4</vt:lpwstr>
  </property>
</Properties>
</file>